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C:\Users\duarte.rvd\Desktop\LICITAÇÕES\Copeiragem\"/>
    </mc:Choice>
  </mc:AlternateContent>
  <xr:revisionPtr revIDLastSave="0" documentId="13_ncr:1_{A4AB4100-4BA9-43F3-9441-672E2D02A172}" xr6:coauthVersionLast="47" xr6:coauthVersionMax="47" xr10:uidLastSave="{00000000-0000-0000-0000-000000000000}"/>
  <bookViews>
    <workbookView xWindow="-110" yWindow="-110" windowWidth="19420" windowHeight="10420" tabRatio="500" firstSheet="4" activeTab="4" xr2:uid="{00000000-000D-0000-FFFF-FFFF00000000}"/>
  </bookViews>
  <sheets>
    <sheet name="Assitente Administrativo" sheetId="5" r:id="rId1"/>
    <sheet name="Uniformes" sheetId="11" r:id="rId2"/>
    <sheet name="Mat_Ins_Copeiragem" sheetId="19" r:id="rId3"/>
    <sheet name="LDI" sheetId="13" r:id="rId4"/>
    <sheet name="Planilha de Custos Grupo I" sheetId="18" r:id="rId5"/>
    <sheet name="Planilha de Custos Grupo II" sheetId="34" r:id="rId6"/>
    <sheet name="Planilha de Custos Grupo III" sheetId="35" r:id="rId7"/>
    <sheet name="Planilha de Custos Grupo IV" sheetId="36" r:id="rId8"/>
    <sheet name="Planilha de Custos Grupo V" sheetId="33" r:id="rId9"/>
    <sheet name="Planilha de Custos Grupo VI" sheetId="37" r:id="rId10"/>
    <sheet name="Planilha de Custos Grupo VII" sheetId="32" r:id="rId11"/>
    <sheet name="Demonstrativo do Valor Global" sheetId="45" r:id="rId1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26" i="37" l="1"/>
  <c r="E124" i="37"/>
  <c r="E123" i="37"/>
  <c r="E122" i="37"/>
  <c r="E121" i="37"/>
  <c r="E120" i="37"/>
  <c r="L37" i="19"/>
  <c r="L38" i="19"/>
  <c r="L48" i="19"/>
  <c r="L54" i="19"/>
  <c r="L53" i="19"/>
  <c r="L52" i="19"/>
  <c r="L15" i="19"/>
  <c r="L36" i="19"/>
  <c r="L32" i="19"/>
  <c r="L28" i="19"/>
  <c r="L27" i="19"/>
  <c r="L26" i="19"/>
  <c r="L24" i="19"/>
  <c r="L12" i="19"/>
  <c r="G127" i="33"/>
  <c r="G120" i="33"/>
  <c r="D32" i="45"/>
  <c r="J21" i="34"/>
  <c r="I15" i="34"/>
  <c r="H82" i="32"/>
  <c r="F82" i="37"/>
  <c r="F82" i="33"/>
  <c r="H82" i="33" s="1"/>
  <c r="J82" i="33" s="1"/>
  <c r="L82" i="33" s="1"/>
  <c r="F21" i="35"/>
  <c r="L20" i="19"/>
  <c r="L19" i="19"/>
  <c r="L17" i="19"/>
  <c r="L16" i="19"/>
  <c r="L13" i="19"/>
  <c r="K13" i="19"/>
  <c r="I13" i="19"/>
  <c r="J13" i="19"/>
  <c r="L11" i="19"/>
  <c r="L10" i="19"/>
  <c r="L9" i="19"/>
  <c r="L8" i="19"/>
  <c r="L44" i="19"/>
  <c r="L43" i="19"/>
  <c r="L42" i="19"/>
  <c r="L41" i="19"/>
  <c r="L40" i="19"/>
  <c r="L35" i="19"/>
  <c r="L34" i="19"/>
  <c r="L33" i="19"/>
  <c r="L31" i="19"/>
  <c r="L30" i="19"/>
  <c r="L29" i="19"/>
  <c r="L49" i="19"/>
  <c r="L50" i="19"/>
  <c r="L51" i="19"/>
  <c r="I47" i="19"/>
  <c r="J47" i="19"/>
  <c r="K47" i="19"/>
  <c r="L47" i="19"/>
  <c r="I48" i="19"/>
  <c r="J48" i="19"/>
  <c r="K48" i="19"/>
  <c r="I49" i="19"/>
  <c r="J49" i="19"/>
  <c r="K49" i="19"/>
  <c r="I50" i="19"/>
  <c r="J50" i="19"/>
  <c r="K50" i="19"/>
  <c r="I51" i="19"/>
  <c r="J51" i="19"/>
  <c r="K51" i="19"/>
  <c r="I52" i="19"/>
  <c r="J52" i="19"/>
  <c r="K52" i="19"/>
  <c r="I53" i="19"/>
  <c r="J53" i="19"/>
  <c r="K53" i="19"/>
  <c r="I54" i="19"/>
  <c r="J54" i="19"/>
  <c r="K54" i="19"/>
  <c r="G12" i="19"/>
  <c r="H12" i="19"/>
  <c r="G8" i="19"/>
  <c r="H8" i="19"/>
  <c r="G9" i="19"/>
  <c r="H9" i="19"/>
  <c r="G10" i="19"/>
  <c r="H10" i="19"/>
  <c r="G11" i="19"/>
  <c r="H11" i="19"/>
  <c r="G13" i="19"/>
  <c r="H13" i="19"/>
  <c r="G14" i="19"/>
  <c r="H14" i="19"/>
  <c r="G15" i="19"/>
  <c r="H15" i="19"/>
  <c r="G16" i="19"/>
  <c r="H16" i="19"/>
  <c r="G17" i="19"/>
  <c r="H17" i="19"/>
  <c r="G18" i="19"/>
  <c r="H18" i="19"/>
  <c r="G19" i="19"/>
  <c r="H19" i="19"/>
  <c r="G20" i="19"/>
  <c r="H20" i="19"/>
  <c r="G21" i="19"/>
  <c r="H21" i="19"/>
  <c r="G22" i="19"/>
  <c r="H22" i="19"/>
  <c r="G23" i="19"/>
  <c r="H23" i="19"/>
  <c r="G24" i="19"/>
  <c r="H24" i="19"/>
  <c r="G25" i="19"/>
  <c r="H25" i="19"/>
  <c r="G26" i="19"/>
  <c r="H26" i="19"/>
  <c r="G27" i="19"/>
  <c r="H27" i="19"/>
  <c r="G28" i="19"/>
  <c r="H28" i="19"/>
  <c r="G29" i="19"/>
  <c r="H29" i="19"/>
  <c r="G30" i="19"/>
  <c r="H30" i="19"/>
  <c r="G31" i="19"/>
  <c r="H31" i="19"/>
  <c r="G32" i="19"/>
  <c r="H32" i="19"/>
  <c r="G33" i="19"/>
  <c r="H33" i="19"/>
  <c r="G34" i="19"/>
  <c r="H34" i="19"/>
  <c r="G35" i="19"/>
  <c r="H35" i="19"/>
  <c r="G36" i="19"/>
  <c r="H36" i="19"/>
  <c r="G37" i="19"/>
  <c r="H37" i="19"/>
  <c r="G38" i="19"/>
  <c r="H38" i="19"/>
  <c r="G39" i="19"/>
  <c r="H39" i="19"/>
  <c r="G40" i="19"/>
  <c r="H40" i="19"/>
  <c r="G41" i="19"/>
  <c r="H41" i="19"/>
  <c r="G42" i="19"/>
  <c r="H42" i="19"/>
  <c r="G43" i="19"/>
  <c r="H43" i="19"/>
  <c r="G44" i="19"/>
  <c r="H44" i="19"/>
  <c r="G45" i="19"/>
  <c r="H45" i="19"/>
  <c r="G46" i="19"/>
  <c r="H46" i="19"/>
  <c r="G47" i="19"/>
  <c r="H47" i="19"/>
  <c r="G48" i="19"/>
  <c r="H48" i="19"/>
  <c r="G49" i="19"/>
  <c r="H49" i="19"/>
  <c r="G50" i="19"/>
  <c r="H50" i="19"/>
  <c r="G51" i="19"/>
  <c r="H51" i="19"/>
  <c r="G52" i="19"/>
  <c r="H52" i="19"/>
  <c r="G53" i="19"/>
  <c r="H53" i="19"/>
  <c r="G54" i="19"/>
  <c r="H54" i="19"/>
  <c r="H7" i="19"/>
  <c r="G7" i="19"/>
  <c r="I134" i="37"/>
  <c r="B133" i="37"/>
  <c r="B132" i="37"/>
  <c r="E118" i="37"/>
  <c r="C118" i="37"/>
  <c r="E112" i="37"/>
  <c r="C112" i="37"/>
  <c r="E110" i="37"/>
  <c r="C110" i="37"/>
  <c r="E108" i="37"/>
  <c r="C108" i="37"/>
  <c r="F105" i="37"/>
  <c r="F124" i="37" s="1"/>
  <c r="F101" i="37"/>
  <c r="D101" i="37"/>
  <c r="E99" i="37"/>
  <c r="C99" i="37"/>
  <c r="E92" i="37"/>
  <c r="C92" i="37"/>
  <c r="F89" i="37"/>
  <c r="F95" i="37" s="1"/>
  <c r="D89" i="37"/>
  <c r="D95" i="37" s="1"/>
  <c r="E86" i="37"/>
  <c r="C86" i="37"/>
  <c r="E81" i="37"/>
  <c r="C81" i="37"/>
  <c r="E80" i="37"/>
  <c r="C80" i="37"/>
  <c r="E79" i="37"/>
  <c r="C79" i="37"/>
  <c r="E78" i="37"/>
  <c r="C78" i="37"/>
  <c r="E75" i="37"/>
  <c r="C75" i="37"/>
  <c r="E69" i="37"/>
  <c r="C69" i="37"/>
  <c r="E67" i="37"/>
  <c r="C67" i="37"/>
  <c r="E65" i="37"/>
  <c r="C65" i="37"/>
  <c r="E57" i="37"/>
  <c r="C57" i="37"/>
  <c r="F52" i="37"/>
  <c r="D52" i="37"/>
  <c r="F50" i="37"/>
  <c r="E48" i="37"/>
  <c r="C48" i="37"/>
  <c r="E45" i="37"/>
  <c r="E70" i="37" s="1"/>
  <c r="C45" i="37"/>
  <c r="C70" i="37" s="1"/>
  <c r="E35" i="37"/>
  <c r="C35" i="37"/>
  <c r="E31" i="37"/>
  <c r="E77" i="37" s="1"/>
  <c r="C31" i="37"/>
  <c r="E30" i="37"/>
  <c r="C30" i="37"/>
  <c r="E28" i="37"/>
  <c r="C28" i="37"/>
  <c r="F25" i="37"/>
  <c r="F120" i="37" s="1"/>
  <c r="D21" i="37"/>
  <c r="D50" i="37" s="1"/>
  <c r="I134" i="36"/>
  <c r="B133" i="36"/>
  <c r="B132" i="36"/>
  <c r="E118" i="36"/>
  <c r="C118" i="36"/>
  <c r="E112" i="36"/>
  <c r="C112" i="36"/>
  <c r="E110" i="36"/>
  <c r="C110" i="36"/>
  <c r="E108" i="36"/>
  <c r="C108" i="36"/>
  <c r="F101" i="36"/>
  <c r="F105" i="36" s="1"/>
  <c r="F124" i="36" s="1"/>
  <c r="D101" i="36"/>
  <c r="E99" i="36"/>
  <c r="C99" i="36"/>
  <c r="E92" i="36"/>
  <c r="C92" i="36"/>
  <c r="F89" i="36"/>
  <c r="F95" i="36" s="1"/>
  <c r="D89" i="36"/>
  <c r="D95" i="36" s="1"/>
  <c r="E86" i="36"/>
  <c r="C86" i="36"/>
  <c r="E81" i="36"/>
  <c r="C81" i="36"/>
  <c r="E80" i="36"/>
  <c r="C80" i="36"/>
  <c r="E79" i="36"/>
  <c r="C79" i="36"/>
  <c r="E78" i="36"/>
  <c r="C78" i="36"/>
  <c r="E75" i="36"/>
  <c r="C75" i="36"/>
  <c r="E69" i="36"/>
  <c r="C69" i="36"/>
  <c r="E67" i="36"/>
  <c r="C67" i="36"/>
  <c r="E65" i="36"/>
  <c r="C65" i="36"/>
  <c r="E57" i="36"/>
  <c r="C57" i="36"/>
  <c r="F52" i="36"/>
  <c r="D52" i="36"/>
  <c r="E48" i="36"/>
  <c r="C48" i="36"/>
  <c r="E45" i="36"/>
  <c r="E70" i="36" s="1"/>
  <c r="C45" i="36"/>
  <c r="C70" i="36" s="1"/>
  <c r="E35" i="36"/>
  <c r="C35" i="36"/>
  <c r="E31" i="36"/>
  <c r="E77" i="36" s="1"/>
  <c r="C31" i="36"/>
  <c r="C77" i="36" s="1"/>
  <c r="E30" i="36"/>
  <c r="C30" i="36"/>
  <c r="E28" i="36"/>
  <c r="C28" i="36"/>
  <c r="F21" i="36"/>
  <c r="F50" i="36" s="1"/>
  <c r="D21" i="36"/>
  <c r="D50" i="36" s="1"/>
  <c r="D54" i="36" s="1"/>
  <c r="D61" i="36" s="1"/>
  <c r="I135" i="35"/>
  <c r="B134" i="35"/>
  <c r="B133" i="35"/>
  <c r="B132" i="35"/>
  <c r="G118" i="35"/>
  <c r="E118" i="35"/>
  <c r="C118" i="35"/>
  <c r="G112" i="35"/>
  <c r="E112" i="35"/>
  <c r="C112" i="35"/>
  <c r="G110" i="35"/>
  <c r="E110" i="35"/>
  <c r="C110" i="35"/>
  <c r="G108" i="35"/>
  <c r="E108" i="35"/>
  <c r="C108" i="35"/>
  <c r="H105" i="35"/>
  <c r="H124" i="35" s="1"/>
  <c r="F101" i="35"/>
  <c r="F105" i="35" s="1"/>
  <c r="F124" i="35" s="1"/>
  <c r="D101" i="35"/>
  <c r="G99" i="35"/>
  <c r="E99" i="35"/>
  <c r="C99" i="35"/>
  <c r="G92" i="35"/>
  <c r="E92" i="35"/>
  <c r="C92" i="35"/>
  <c r="H89" i="35"/>
  <c r="H95" i="35" s="1"/>
  <c r="F89" i="35"/>
  <c r="F95" i="35" s="1"/>
  <c r="D89" i="35"/>
  <c r="D95" i="35" s="1"/>
  <c r="G86" i="35"/>
  <c r="E86" i="35"/>
  <c r="C86" i="35"/>
  <c r="G81" i="35"/>
  <c r="E81" i="35"/>
  <c r="C81" i="35"/>
  <c r="G80" i="35"/>
  <c r="E80" i="35"/>
  <c r="C80" i="35"/>
  <c r="G79" i="35"/>
  <c r="E79" i="35"/>
  <c r="C79" i="35"/>
  <c r="G78" i="35"/>
  <c r="E78" i="35"/>
  <c r="C78" i="35"/>
  <c r="G75" i="35"/>
  <c r="E75" i="35"/>
  <c r="C75" i="35"/>
  <c r="G69" i="35"/>
  <c r="E69" i="35"/>
  <c r="C69" i="35"/>
  <c r="G67" i="35"/>
  <c r="E67" i="35"/>
  <c r="C67" i="35"/>
  <c r="G65" i="35"/>
  <c r="E65" i="35"/>
  <c r="C65" i="35"/>
  <c r="G57" i="35"/>
  <c r="E57" i="35"/>
  <c r="C57" i="35"/>
  <c r="H52" i="35"/>
  <c r="F52" i="35"/>
  <c r="D52" i="35"/>
  <c r="G48" i="35"/>
  <c r="E48" i="35"/>
  <c r="C48" i="35"/>
  <c r="G45" i="35"/>
  <c r="G70" i="35" s="1"/>
  <c r="E45" i="35"/>
  <c r="E70" i="35" s="1"/>
  <c r="C45" i="35"/>
  <c r="C70" i="35" s="1"/>
  <c r="G35" i="35"/>
  <c r="E35" i="35"/>
  <c r="C35" i="35"/>
  <c r="G31" i="35"/>
  <c r="G77" i="35" s="1"/>
  <c r="E31" i="35"/>
  <c r="E77" i="35" s="1"/>
  <c r="C31" i="35"/>
  <c r="C77" i="35" s="1"/>
  <c r="G30" i="35"/>
  <c r="E30" i="35"/>
  <c r="C30" i="35"/>
  <c r="G28" i="35"/>
  <c r="E28" i="35"/>
  <c r="C28" i="35"/>
  <c r="H23" i="35"/>
  <c r="F23" i="35"/>
  <c r="D23" i="35"/>
  <c r="H21" i="35"/>
  <c r="H50" i="35" s="1"/>
  <c r="H54" i="35" s="1"/>
  <c r="H61" i="35" s="1"/>
  <c r="G15" i="35"/>
  <c r="D21" i="35"/>
  <c r="I136" i="34"/>
  <c r="B135" i="34"/>
  <c r="B134" i="34"/>
  <c r="B133" i="34"/>
  <c r="B132" i="34"/>
  <c r="I118" i="34"/>
  <c r="G118" i="34"/>
  <c r="E118" i="34"/>
  <c r="C118" i="34"/>
  <c r="I112" i="34"/>
  <c r="G112" i="34"/>
  <c r="E112" i="34"/>
  <c r="C112" i="34"/>
  <c r="I110" i="34"/>
  <c r="G110" i="34"/>
  <c r="E110" i="34"/>
  <c r="C110" i="34"/>
  <c r="I108" i="34"/>
  <c r="G108" i="34"/>
  <c r="E108" i="34"/>
  <c r="C108" i="34"/>
  <c r="J101" i="34"/>
  <c r="J105" i="34" s="1"/>
  <c r="J124" i="34" s="1"/>
  <c r="H101" i="34"/>
  <c r="F101" i="34"/>
  <c r="D101" i="34"/>
  <c r="I99" i="34"/>
  <c r="G99" i="34"/>
  <c r="E99" i="34"/>
  <c r="C99" i="34"/>
  <c r="I92" i="34"/>
  <c r="G92" i="34"/>
  <c r="E92" i="34"/>
  <c r="C92" i="34"/>
  <c r="J89" i="34"/>
  <c r="J95" i="34" s="1"/>
  <c r="H89" i="34"/>
  <c r="H95" i="34" s="1"/>
  <c r="F89" i="34"/>
  <c r="F95" i="34" s="1"/>
  <c r="D89" i="34"/>
  <c r="D95" i="34" s="1"/>
  <c r="I86" i="34"/>
  <c r="G86" i="34"/>
  <c r="E86" i="34"/>
  <c r="C86" i="34"/>
  <c r="I81" i="34"/>
  <c r="G81" i="34"/>
  <c r="E81" i="34"/>
  <c r="C81" i="34"/>
  <c r="I80" i="34"/>
  <c r="G80" i="34"/>
  <c r="E80" i="34"/>
  <c r="C80" i="34"/>
  <c r="I79" i="34"/>
  <c r="G79" i="34"/>
  <c r="E79" i="34"/>
  <c r="C79" i="34"/>
  <c r="I78" i="34"/>
  <c r="G78" i="34"/>
  <c r="E78" i="34"/>
  <c r="C78" i="34"/>
  <c r="I75" i="34"/>
  <c r="G75" i="34"/>
  <c r="E75" i="34"/>
  <c r="C75" i="34"/>
  <c r="I69" i="34"/>
  <c r="G69" i="34"/>
  <c r="E69" i="34"/>
  <c r="C69" i="34"/>
  <c r="I67" i="34"/>
  <c r="G67" i="34"/>
  <c r="E67" i="34"/>
  <c r="C67" i="34"/>
  <c r="I65" i="34"/>
  <c r="G65" i="34"/>
  <c r="E65" i="34"/>
  <c r="C65" i="34"/>
  <c r="I57" i="34"/>
  <c r="G57" i="34"/>
  <c r="E57" i="34"/>
  <c r="C57" i="34"/>
  <c r="J52" i="34"/>
  <c r="H52" i="34"/>
  <c r="F52" i="34"/>
  <c r="D52" i="34"/>
  <c r="I48" i="34"/>
  <c r="G48" i="34"/>
  <c r="E48" i="34"/>
  <c r="C48" i="34"/>
  <c r="I45" i="34"/>
  <c r="I70" i="34" s="1"/>
  <c r="G45" i="34"/>
  <c r="G70" i="34" s="1"/>
  <c r="E45" i="34"/>
  <c r="E70" i="34" s="1"/>
  <c r="C45" i="34"/>
  <c r="C70" i="34" s="1"/>
  <c r="I35" i="34"/>
  <c r="G35" i="34"/>
  <c r="E35" i="34"/>
  <c r="C35" i="34"/>
  <c r="I31" i="34"/>
  <c r="I77" i="34" s="1"/>
  <c r="G31" i="34"/>
  <c r="G77" i="34" s="1"/>
  <c r="E31" i="34"/>
  <c r="E77" i="34" s="1"/>
  <c r="C31" i="34"/>
  <c r="C77" i="34" s="1"/>
  <c r="I30" i="34"/>
  <c r="G30" i="34"/>
  <c r="E30" i="34"/>
  <c r="C30" i="34"/>
  <c r="I28" i="34"/>
  <c r="G28" i="34"/>
  <c r="E28" i="34"/>
  <c r="C28" i="34"/>
  <c r="F23" i="34"/>
  <c r="D21" i="34"/>
  <c r="D25" i="34" s="1"/>
  <c r="G15" i="34"/>
  <c r="H21" i="34" s="1"/>
  <c r="H50" i="34" s="1"/>
  <c r="E15" i="34"/>
  <c r="F21" i="34" s="1"/>
  <c r="F50" i="34" s="1"/>
  <c r="F54" i="34" s="1"/>
  <c r="F61" i="34" s="1"/>
  <c r="I137" i="33"/>
  <c r="B136" i="33"/>
  <c r="B135" i="33"/>
  <c r="B134" i="33"/>
  <c r="B133" i="33"/>
  <c r="B132" i="33"/>
  <c r="K118" i="33"/>
  <c r="I118" i="33"/>
  <c r="G118" i="33"/>
  <c r="E118" i="33"/>
  <c r="C118" i="33"/>
  <c r="K112" i="33"/>
  <c r="I112" i="33"/>
  <c r="G112" i="33"/>
  <c r="E112" i="33"/>
  <c r="C112" i="33"/>
  <c r="K110" i="33"/>
  <c r="I110" i="33"/>
  <c r="G110" i="33"/>
  <c r="E110" i="33"/>
  <c r="C110" i="33"/>
  <c r="K108" i="33"/>
  <c r="I108" i="33"/>
  <c r="G108" i="33"/>
  <c r="E108" i="33"/>
  <c r="C108" i="33"/>
  <c r="L101" i="33"/>
  <c r="L105" i="33" s="1"/>
  <c r="L124" i="33" s="1"/>
  <c r="J101" i="33"/>
  <c r="J105" i="33" s="1"/>
  <c r="J124" i="33" s="1"/>
  <c r="H101" i="33"/>
  <c r="H105" i="33" s="1"/>
  <c r="H124" i="33" s="1"/>
  <c r="F101" i="33"/>
  <c r="F105" i="33" s="1"/>
  <c r="F124" i="33" s="1"/>
  <c r="D101" i="33"/>
  <c r="K99" i="33"/>
  <c r="I99" i="33"/>
  <c r="G99" i="33"/>
  <c r="E99" i="33"/>
  <c r="C99" i="33"/>
  <c r="K92" i="33"/>
  <c r="I92" i="33"/>
  <c r="G92" i="33"/>
  <c r="E92" i="33"/>
  <c r="C92" i="33"/>
  <c r="L89" i="33"/>
  <c r="L95" i="33" s="1"/>
  <c r="J89" i="33"/>
  <c r="J95" i="33" s="1"/>
  <c r="H89" i="33"/>
  <c r="H95" i="33" s="1"/>
  <c r="F89" i="33"/>
  <c r="F95" i="33" s="1"/>
  <c r="D89" i="33"/>
  <c r="D95" i="33" s="1"/>
  <c r="K86" i="33"/>
  <c r="I86" i="33"/>
  <c r="G86" i="33"/>
  <c r="E86" i="33"/>
  <c r="C86" i="33"/>
  <c r="K81" i="33"/>
  <c r="I81" i="33"/>
  <c r="G81" i="33"/>
  <c r="E81" i="33"/>
  <c r="C81" i="33"/>
  <c r="K80" i="33"/>
  <c r="I80" i="33"/>
  <c r="G80" i="33"/>
  <c r="E80" i="33"/>
  <c r="C80" i="33"/>
  <c r="K79" i="33"/>
  <c r="I79" i="33"/>
  <c r="G79" i="33"/>
  <c r="E79" i="33"/>
  <c r="C79" i="33"/>
  <c r="K78" i="33"/>
  <c r="I78" i="33"/>
  <c r="G78" i="33"/>
  <c r="E78" i="33"/>
  <c r="C78" i="33"/>
  <c r="K75" i="33"/>
  <c r="I75" i="33"/>
  <c r="G75" i="33"/>
  <c r="E75" i="33"/>
  <c r="C75" i="33"/>
  <c r="K69" i="33"/>
  <c r="I69" i="33"/>
  <c r="G69" i="33"/>
  <c r="E69" i="33"/>
  <c r="C69" i="33"/>
  <c r="K67" i="33"/>
  <c r="I67" i="33"/>
  <c r="G67" i="33"/>
  <c r="E67" i="33"/>
  <c r="C67" i="33"/>
  <c r="K65" i="33"/>
  <c r="I65" i="33"/>
  <c r="G65" i="33"/>
  <c r="E65" i="33"/>
  <c r="C65" i="33"/>
  <c r="K57" i="33"/>
  <c r="I57" i="33"/>
  <c r="G57" i="33"/>
  <c r="E57" i="33"/>
  <c r="C57" i="33"/>
  <c r="L52" i="33"/>
  <c r="J52" i="33"/>
  <c r="H52" i="33"/>
  <c r="F52" i="33"/>
  <c r="D52" i="33"/>
  <c r="H50" i="33"/>
  <c r="K48" i="33"/>
  <c r="I48" i="33"/>
  <c r="G48" i="33"/>
  <c r="E48" i="33"/>
  <c r="C48" i="33"/>
  <c r="K45" i="33"/>
  <c r="K70" i="33" s="1"/>
  <c r="I45" i="33"/>
  <c r="I70" i="33" s="1"/>
  <c r="G45" i="33"/>
  <c r="G70" i="33" s="1"/>
  <c r="E45" i="33"/>
  <c r="E70" i="33" s="1"/>
  <c r="C45" i="33"/>
  <c r="C70" i="33" s="1"/>
  <c r="K35" i="33"/>
  <c r="I35" i="33"/>
  <c r="G35" i="33"/>
  <c r="E35" i="33"/>
  <c r="C35" i="33"/>
  <c r="K31" i="33"/>
  <c r="K77" i="33" s="1"/>
  <c r="I31" i="33"/>
  <c r="I77" i="33" s="1"/>
  <c r="G31" i="33"/>
  <c r="G77" i="33" s="1"/>
  <c r="E31" i="33"/>
  <c r="E77" i="33" s="1"/>
  <c r="C31" i="33"/>
  <c r="C77" i="33" s="1"/>
  <c r="K30" i="33"/>
  <c r="I30" i="33"/>
  <c r="G30" i="33"/>
  <c r="E30" i="33"/>
  <c r="C30" i="33"/>
  <c r="K28" i="33"/>
  <c r="I28" i="33"/>
  <c r="G28" i="33"/>
  <c r="E28" i="33"/>
  <c r="C28" i="33"/>
  <c r="H25" i="33"/>
  <c r="H30" i="33" s="1"/>
  <c r="L21" i="33"/>
  <c r="L50" i="33" s="1"/>
  <c r="J21" i="33"/>
  <c r="J50" i="33" s="1"/>
  <c r="F21" i="33"/>
  <c r="F50" i="33" s="1"/>
  <c r="D21" i="33"/>
  <c r="D50" i="33" s="1"/>
  <c r="D54" i="33" s="1"/>
  <c r="D61" i="33" s="1"/>
  <c r="I135" i="32"/>
  <c r="B134" i="32"/>
  <c r="B133" i="32"/>
  <c r="B132" i="32"/>
  <c r="G118" i="32"/>
  <c r="E118" i="32"/>
  <c r="C118" i="32"/>
  <c r="G112" i="32"/>
  <c r="E112" i="32"/>
  <c r="C112" i="32"/>
  <c r="G110" i="32"/>
  <c r="E110" i="32"/>
  <c r="C110" i="32"/>
  <c r="G108" i="32"/>
  <c r="E108" i="32"/>
  <c r="C108" i="32"/>
  <c r="H101" i="32"/>
  <c r="H105" i="32" s="1"/>
  <c r="H124" i="32" s="1"/>
  <c r="F101" i="32"/>
  <c r="F105" i="32" s="1"/>
  <c r="F124" i="32" s="1"/>
  <c r="D101" i="32"/>
  <c r="G99" i="32"/>
  <c r="E99" i="32"/>
  <c r="C99" i="32"/>
  <c r="G92" i="32"/>
  <c r="E92" i="32"/>
  <c r="C92" i="32"/>
  <c r="H89" i="32"/>
  <c r="H95" i="32" s="1"/>
  <c r="F89" i="32"/>
  <c r="F95" i="32" s="1"/>
  <c r="D89" i="32"/>
  <c r="D95" i="32" s="1"/>
  <c r="G86" i="32"/>
  <c r="E86" i="32"/>
  <c r="C86" i="32"/>
  <c r="G81" i="32"/>
  <c r="E81" i="32"/>
  <c r="C81" i="32"/>
  <c r="G80" i="32"/>
  <c r="E80" i="32"/>
  <c r="C80" i="32"/>
  <c r="G79" i="32"/>
  <c r="E79" i="32"/>
  <c r="C79" i="32"/>
  <c r="G78" i="32"/>
  <c r="E78" i="32"/>
  <c r="C78" i="32"/>
  <c r="G75" i="32"/>
  <c r="E75" i="32"/>
  <c r="C75" i="32"/>
  <c r="G69" i="32"/>
  <c r="E69" i="32"/>
  <c r="C69" i="32"/>
  <c r="G67" i="32"/>
  <c r="E67" i="32"/>
  <c r="C67" i="32"/>
  <c r="G65" i="32"/>
  <c r="E65" i="32"/>
  <c r="C65" i="32"/>
  <c r="G57" i="32"/>
  <c r="E57" i="32"/>
  <c r="C57" i="32"/>
  <c r="H52" i="32"/>
  <c r="F52" i="32"/>
  <c r="D52" i="32"/>
  <c r="H50" i="32"/>
  <c r="G48" i="32"/>
  <c r="E48" i="32"/>
  <c r="C48" i="32"/>
  <c r="G45" i="32"/>
  <c r="G70" i="32" s="1"/>
  <c r="E45" i="32"/>
  <c r="E70" i="32" s="1"/>
  <c r="C45" i="32"/>
  <c r="C70" i="32" s="1"/>
  <c r="G35" i="32"/>
  <c r="E35" i="32"/>
  <c r="C35" i="32"/>
  <c r="G31" i="32"/>
  <c r="G77" i="32" s="1"/>
  <c r="E31" i="32"/>
  <c r="C31" i="32"/>
  <c r="C77" i="32" s="1"/>
  <c r="G30" i="32"/>
  <c r="E30" i="32"/>
  <c r="C30" i="32"/>
  <c r="C32" i="32" s="1"/>
  <c r="G28" i="32"/>
  <c r="E28" i="32"/>
  <c r="C28" i="32"/>
  <c r="H25" i="32"/>
  <c r="F21" i="32"/>
  <c r="D21" i="32"/>
  <c r="D25" i="32" s="1"/>
  <c r="D120" i="32" s="1"/>
  <c r="B57" i="11"/>
  <c r="B56" i="11"/>
  <c r="B61" i="11"/>
  <c r="H58" i="11"/>
  <c r="H59" i="11" s="1"/>
  <c r="H60" i="11" s="1"/>
  <c r="B44" i="11"/>
  <c r="H41" i="11"/>
  <c r="H42" i="11" s="1"/>
  <c r="H43" i="11" s="1"/>
  <c r="B40" i="11"/>
  <c r="B39" i="11"/>
  <c r="B133" i="18"/>
  <c r="E118" i="18"/>
  <c r="B134" i="18"/>
  <c r="B135" i="18"/>
  <c r="J12" i="19" l="1"/>
  <c r="I12" i="19"/>
  <c r="K12" i="19"/>
  <c r="H54" i="32"/>
  <c r="H61" i="32" s="1"/>
  <c r="D50" i="32"/>
  <c r="D54" i="32" s="1"/>
  <c r="D61" i="32" s="1"/>
  <c r="H31" i="32"/>
  <c r="G32" i="32"/>
  <c r="F54" i="37"/>
  <c r="F61" i="37" s="1"/>
  <c r="D54" i="37"/>
  <c r="D61" i="37" s="1"/>
  <c r="F67" i="37"/>
  <c r="F68" i="37" s="1"/>
  <c r="F31" i="37"/>
  <c r="D25" i="37"/>
  <c r="D31" i="37" s="1"/>
  <c r="F30" i="37"/>
  <c r="E32" i="33"/>
  <c r="G32" i="33"/>
  <c r="H69" i="33"/>
  <c r="J54" i="33"/>
  <c r="J61" i="33" s="1"/>
  <c r="L54" i="33"/>
  <c r="L61" i="33" s="1"/>
  <c r="H54" i="33"/>
  <c r="H61" i="33" s="1"/>
  <c r="J25" i="33"/>
  <c r="J71" i="33" s="1"/>
  <c r="H67" i="33"/>
  <c r="H68" i="33" s="1"/>
  <c r="F54" i="36"/>
  <c r="F61" i="36" s="1"/>
  <c r="C32" i="36"/>
  <c r="G32" i="35"/>
  <c r="E32" i="35"/>
  <c r="H25" i="35"/>
  <c r="H120" i="35" s="1"/>
  <c r="E32" i="34"/>
  <c r="I32" i="34"/>
  <c r="H54" i="34"/>
  <c r="H61" i="34" s="1"/>
  <c r="C32" i="34"/>
  <c r="K10" i="19"/>
  <c r="E32" i="37"/>
  <c r="D120" i="37"/>
  <c r="C77" i="37"/>
  <c r="F69" i="37"/>
  <c r="F70" i="37" s="1"/>
  <c r="D69" i="37"/>
  <c r="D70" i="37" s="1"/>
  <c r="C32" i="37"/>
  <c r="F71" i="37"/>
  <c r="D25" i="36"/>
  <c r="D31" i="36" s="1"/>
  <c r="E32" i="36"/>
  <c r="F25" i="36"/>
  <c r="D50" i="35"/>
  <c r="D54" i="35" s="1"/>
  <c r="D61" i="35" s="1"/>
  <c r="D25" i="35"/>
  <c r="D69" i="35" s="1"/>
  <c r="D70" i="35" s="1"/>
  <c r="F25" i="35"/>
  <c r="F30" i="35" s="1"/>
  <c r="F50" i="35"/>
  <c r="F54" i="35" s="1"/>
  <c r="F61" i="35" s="1"/>
  <c r="C32" i="35"/>
  <c r="H31" i="35"/>
  <c r="H71" i="35"/>
  <c r="J50" i="34"/>
  <c r="J54" i="34" s="1"/>
  <c r="J61" i="34" s="1"/>
  <c r="J24" i="34"/>
  <c r="J25" i="34" s="1"/>
  <c r="D71" i="34"/>
  <c r="D120" i="34"/>
  <c r="D67" i="34"/>
  <c r="D30" i="34"/>
  <c r="H24" i="34"/>
  <c r="H25" i="34" s="1"/>
  <c r="D50" i="34"/>
  <c r="D54" i="34" s="1"/>
  <c r="D61" i="34" s="1"/>
  <c r="D69" i="34"/>
  <c r="D70" i="34" s="1"/>
  <c r="G32" i="34"/>
  <c r="F25" i="34"/>
  <c r="D31" i="34"/>
  <c r="J120" i="33"/>
  <c r="D25" i="33"/>
  <c r="D67" i="33" s="1"/>
  <c r="L25" i="33"/>
  <c r="L67" i="33" s="1"/>
  <c r="I32" i="33"/>
  <c r="F25" i="33"/>
  <c r="F69" i="33" s="1"/>
  <c r="F70" i="33" s="1"/>
  <c r="C32" i="33"/>
  <c r="K32" i="33"/>
  <c r="F54" i="33"/>
  <c r="F61" i="33" s="1"/>
  <c r="H31" i="33"/>
  <c r="H32" i="33" s="1"/>
  <c r="H120" i="33"/>
  <c r="H71" i="33"/>
  <c r="F25" i="32"/>
  <c r="F69" i="32" s="1"/>
  <c r="F70" i="32" s="1"/>
  <c r="F50" i="32"/>
  <c r="F54" i="32" s="1"/>
  <c r="F61" i="32" s="1"/>
  <c r="H67" i="32"/>
  <c r="H120" i="32"/>
  <c r="H71" i="32"/>
  <c r="H30" i="32"/>
  <c r="H32" i="32" s="1"/>
  <c r="E32" i="32"/>
  <c r="D71" i="32"/>
  <c r="D31" i="32"/>
  <c r="D30" i="32"/>
  <c r="D67" i="32"/>
  <c r="E77" i="32"/>
  <c r="D69" i="32"/>
  <c r="D70" i="32" s="1"/>
  <c r="H69" i="32"/>
  <c r="H70" i="32" s="1"/>
  <c r="B41" i="11"/>
  <c r="B58" i="11"/>
  <c r="B59" i="11"/>
  <c r="B42" i="11"/>
  <c r="F30" i="32" l="1"/>
  <c r="F67" i="32"/>
  <c r="F68" i="32" s="1"/>
  <c r="F31" i="32"/>
  <c r="D32" i="32"/>
  <c r="D41" i="32" s="1"/>
  <c r="F32" i="37"/>
  <c r="F42" i="37" s="1"/>
  <c r="F72" i="37"/>
  <c r="F122" i="37" s="1"/>
  <c r="F40" i="37"/>
  <c r="D67" i="37"/>
  <c r="D68" i="37" s="1"/>
  <c r="D30" i="37"/>
  <c r="D71" i="37"/>
  <c r="D30" i="33"/>
  <c r="D69" i="33"/>
  <c r="D70" i="33" s="1"/>
  <c r="H70" i="33"/>
  <c r="H72" i="33" s="1"/>
  <c r="H122" i="33" s="1"/>
  <c r="F67" i="33"/>
  <c r="F68" i="33" s="1"/>
  <c r="J30" i="33"/>
  <c r="J69" i="33"/>
  <c r="J70" i="33" s="1"/>
  <c r="J67" i="33"/>
  <c r="J68" i="33" s="1"/>
  <c r="J31" i="33"/>
  <c r="D67" i="36"/>
  <c r="D68" i="36" s="1"/>
  <c r="H69" i="35"/>
  <c r="H70" i="35" s="1"/>
  <c r="H30" i="35"/>
  <c r="D31" i="35"/>
  <c r="F31" i="35"/>
  <c r="F32" i="35" s="1"/>
  <c r="F69" i="35"/>
  <c r="F70" i="35" s="1"/>
  <c r="H32" i="35"/>
  <c r="H43" i="35" s="1"/>
  <c r="H67" i="35"/>
  <c r="H68" i="35" s="1"/>
  <c r="D32" i="37"/>
  <c r="F120" i="36"/>
  <c r="F71" i="36"/>
  <c r="F31" i="36"/>
  <c r="D69" i="36"/>
  <c r="D70" i="36" s="1"/>
  <c r="D71" i="36"/>
  <c r="D120" i="36"/>
  <c r="D30" i="36"/>
  <c r="D32" i="36" s="1"/>
  <c r="F67" i="36"/>
  <c r="F69" i="36"/>
  <c r="F70" i="36" s="1"/>
  <c r="F30" i="36"/>
  <c r="H44" i="35"/>
  <c r="H39" i="35"/>
  <c r="D71" i="35"/>
  <c r="D120" i="35"/>
  <c r="F71" i="35"/>
  <c r="F67" i="35"/>
  <c r="F120" i="35"/>
  <c r="D67" i="35"/>
  <c r="D30" i="35"/>
  <c r="D32" i="35" s="1"/>
  <c r="H120" i="34"/>
  <c r="H71" i="34"/>
  <c r="H30" i="34"/>
  <c r="H32" i="34" s="1"/>
  <c r="H67" i="34"/>
  <c r="H31" i="34"/>
  <c r="H69" i="34"/>
  <c r="H70" i="34" s="1"/>
  <c r="J120" i="34"/>
  <c r="J71" i="34"/>
  <c r="J69" i="34"/>
  <c r="J70" i="34" s="1"/>
  <c r="J67" i="34"/>
  <c r="J31" i="34"/>
  <c r="J30" i="34"/>
  <c r="F67" i="34"/>
  <c r="D68" i="34"/>
  <c r="D72" i="34" s="1"/>
  <c r="D122" i="34" s="1"/>
  <c r="F69" i="34"/>
  <c r="F70" i="34" s="1"/>
  <c r="D32" i="34"/>
  <c r="F71" i="34"/>
  <c r="F120" i="34"/>
  <c r="F30" i="34"/>
  <c r="F31" i="34"/>
  <c r="L71" i="33"/>
  <c r="L120" i="33"/>
  <c r="L31" i="33"/>
  <c r="L30" i="33"/>
  <c r="H59" i="33"/>
  <c r="H40" i="33"/>
  <c r="H43" i="33"/>
  <c r="H39" i="33"/>
  <c r="H44" i="33"/>
  <c r="H38" i="33"/>
  <c r="H41" i="33"/>
  <c r="H37" i="33"/>
  <c r="H42" i="33"/>
  <c r="D68" i="33"/>
  <c r="L69" i="33"/>
  <c r="L70" i="33" s="1"/>
  <c r="D71" i="33"/>
  <c r="D120" i="33"/>
  <c r="D31" i="33"/>
  <c r="L68" i="33"/>
  <c r="F30" i="33"/>
  <c r="F120" i="33"/>
  <c r="F71" i="33"/>
  <c r="F31" i="33"/>
  <c r="F120" i="32"/>
  <c r="F71" i="32"/>
  <c r="D59" i="32"/>
  <c r="D42" i="32"/>
  <c r="D38" i="32"/>
  <c r="D44" i="32"/>
  <c r="D39" i="32"/>
  <c r="D68" i="32"/>
  <c r="D72" i="32" s="1"/>
  <c r="D122" i="32" s="1"/>
  <c r="H68" i="32"/>
  <c r="H72" i="32" s="1"/>
  <c r="H122" i="32" s="1"/>
  <c r="H43" i="32"/>
  <c r="H39" i="32"/>
  <c r="H38" i="32"/>
  <c r="H44" i="32"/>
  <c r="H41" i="32"/>
  <c r="H59" i="32"/>
  <c r="H37" i="32"/>
  <c r="H42" i="32"/>
  <c r="H40" i="32"/>
  <c r="B43" i="11"/>
  <c r="B47" i="11" s="1"/>
  <c r="B48" i="11" s="1"/>
  <c r="B60" i="11"/>
  <c r="B64" i="11" s="1"/>
  <c r="B65" i="11" s="1"/>
  <c r="H57" i="11"/>
  <c r="H40" i="11"/>
  <c r="I10" i="19"/>
  <c r="J10" i="19"/>
  <c r="K7" i="19"/>
  <c r="L7" i="19" s="1"/>
  <c r="K8" i="19"/>
  <c r="K9" i="19"/>
  <c r="K14" i="19"/>
  <c r="L14" i="19" s="1"/>
  <c r="K15" i="19"/>
  <c r="K16" i="19"/>
  <c r="K17" i="19"/>
  <c r="K18" i="19"/>
  <c r="L18" i="19" s="1"/>
  <c r="K19" i="19"/>
  <c r="K20" i="19"/>
  <c r="K21" i="19"/>
  <c r="L21" i="19" s="1"/>
  <c r="K22" i="19"/>
  <c r="L22" i="19" s="1"/>
  <c r="K23" i="19"/>
  <c r="L23" i="19" s="1"/>
  <c r="K24" i="19"/>
  <c r="K25" i="19"/>
  <c r="L25" i="19" s="1"/>
  <c r="K26" i="19"/>
  <c r="K27" i="19"/>
  <c r="K28" i="19"/>
  <c r="K29" i="19"/>
  <c r="K30" i="19"/>
  <c r="K31" i="19"/>
  <c r="K32" i="19"/>
  <c r="K33" i="19"/>
  <c r="K34" i="19"/>
  <c r="K35" i="19"/>
  <c r="K36" i="19"/>
  <c r="K37" i="19"/>
  <c r="K38" i="19"/>
  <c r="K39" i="19"/>
  <c r="L39" i="19" s="1"/>
  <c r="K40" i="19"/>
  <c r="K41" i="19"/>
  <c r="K42" i="19"/>
  <c r="K43" i="19"/>
  <c r="K44" i="19"/>
  <c r="K45" i="19"/>
  <c r="L45" i="19" s="1"/>
  <c r="K46" i="19"/>
  <c r="L46" i="19" s="1"/>
  <c r="F32" i="32" l="1"/>
  <c r="F39" i="32" s="1"/>
  <c r="D40" i="32"/>
  <c r="D45" i="32" s="1"/>
  <c r="D60" i="32" s="1"/>
  <c r="F72" i="32"/>
  <c r="F122" i="32" s="1"/>
  <c r="D43" i="32"/>
  <c r="D37" i="32"/>
  <c r="D72" i="37"/>
  <c r="D122" i="37" s="1"/>
  <c r="F44" i="37"/>
  <c r="F39" i="37"/>
  <c r="F38" i="37"/>
  <c r="F37" i="37"/>
  <c r="F41" i="37"/>
  <c r="F43" i="37"/>
  <c r="F59" i="37"/>
  <c r="L32" i="33"/>
  <c r="L43" i="33" s="1"/>
  <c r="J72" i="33"/>
  <c r="J122" i="33" s="1"/>
  <c r="L72" i="33"/>
  <c r="L122" i="33" s="1"/>
  <c r="D32" i="33"/>
  <c r="D41" i="33" s="1"/>
  <c r="F72" i="33"/>
  <c r="F122" i="33" s="1"/>
  <c r="D72" i="33"/>
  <c r="D122" i="33" s="1"/>
  <c r="F32" i="33"/>
  <c r="F44" i="33" s="1"/>
  <c r="J32" i="33"/>
  <c r="H72" i="35"/>
  <c r="H122" i="35" s="1"/>
  <c r="H37" i="35"/>
  <c r="H59" i="35"/>
  <c r="H40" i="35"/>
  <c r="H42" i="35"/>
  <c r="H38" i="35"/>
  <c r="H41" i="35"/>
  <c r="F39" i="35"/>
  <c r="F59" i="35"/>
  <c r="F38" i="35"/>
  <c r="F42" i="35"/>
  <c r="F41" i="35"/>
  <c r="F40" i="35"/>
  <c r="F43" i="35"/>
  <c r="F37" i="35"/>
  <c r="F44" i="35"/>
  <c r="D59" i="37"/>
  <c r="D38" i="37"/>
  <c r="D43" i="37"/>
  <c r="D42" i="37"/>
  <c r="D41" i="37"/>
  <c r="D37" i="37"/>
  <c r="D44" i="37"/>
  <c r="D39" i="37"/>
  <c r="D40" i="37"/>
  <c r="F32" i="36"/>
  <c r="D59" i="36"/>
  <c r="D44" i="36"/>
  <c r="D42" i="36"/>
  <c r="D38" i="36"/>
  <c r="D43" i="36"/>
  <c r="D41" i="36"/>
  <c r="D37" i="36"/>
  <c r="D40" i="36"/>
  <c r="D39" i="36"/>
  <c r="F68" i="36"/>
  <c r="F72" i="36" s="1"/>
  <c r="F122" i="36" s="1"/>
  <c r="D72" i="36"/>
  <c r="D122" i="36" s="1"/>
  <c r="F68" i="35"/>
  <c r="F72" i="35" s="1"/>
  <c r="F122" i="35" s="1"/>
  <c r="D68" i="35"/>
  <c r="D72" i="35" s="1"/>
  <c r="D122" i="35" s="1"/>
  <c r="D59" i="35"/>
  <c r="D44" i="35"/>
  <c r="D43" i="35"/>
  <c r="D38" i="35"/>
  <c r="D40" i="35"/>
  <c r="D42" i="35"/>
  <c r="D41" i="35"/>
  <c r="D37" i="35"/>
  <c r="D39" i="35"/>
  <c r="J32" i="34"/>
  <c r="H68" i="34"/>
  <c r="H72" i="34" s="1"/>
  <c r="H122" i="34" s="1"/>
  <c r="H59" i="34"/>
  <c r="H43" i="34"/>
  <c r="H41" i="34"/>
  <c r="H39" i="34"/>
  <c r="H44" i="34"/>
  <c r="H38" i="34"/>
  <c r="H42" i="34"/>
  <c r="H37" i="34"/>
  <c r="H40" i="34"/>
  <c r="F68" i="34"/>
  <c r="F72" i="34" s="1"/>
  <c r="F122" i="34" s="1"/>
  <c r="J68" i="34"/>
  <c r="J72" i="34" s="1"/>
  <c r="J122" i="34" s="1"/>
  <c r="F32" i="34"/>
  <c r="D59" i="34"/>
  <c r="D38" i="34"/>
  <c r="D43" i="34"/>
  <c r="D40" i="34"/>
  <c r="D39" i="34"/>
  <c r="D44" i="34"/>
  <c r="D42" i="34"/>
  <c r="D41" i="34"/>
  <c r="D37" i="34"/>
  <c r="D38" i="33"/>
  <c r="H45" i="33"/>
  <c r="H60" i="33" s="1"/>
  <c r="H80" i="33" s="1"/>
  <c r="L59" i="33"/>
  <c r="L39" i="33"/>
  <c r="L44" i="33"/>
  <c r="L37" i="33"/>
  <c r="L42" i="33"/>
  <c r="L40" i="33"/>
  <c r="F59" i="33"/>
  <c r="H45" i="32"/>
  <c r="H60" i="32" s="1"/>
  <c r="H62" i="32" s="1"/>
  <c r="H121" i="32" s="1"/>
  <c r="I40" i="19"/>
  <c r="I28" i="19"/>
  <c r="I32" i="19"/>
  <c r="I44" i="19"/>
  <c r="I36" i="19"/>
  <c r="I24" i="19"/>
  <c r="I33" i="19"/>
  <c r="I29" i="19"/>
  <c r="I25" i="19"/>
  <c r="I21" i="19"/>
  <c r="I45" i="19"/>
  <c r="I41" i="19"/>
  <c r="I26" i="19"/>
  <c r="I22" i="19"/>
  <c r="I43" i="19"/>
  <c r="I39" i="19"/>
  <c r="I35" i="19"/>
  <c r="I31" i="19"/>
  <c r="I27" i="19"/>
  <c r="I23" i="19"/>
  <c r="I46" i="19"/>
  <c r="I38" i="19"/>
  <c r="I34" i="19"/>
  <c r="J11" i="19"/>
  <c r="K11" i="19"/>
  <c r="L55" i="19" s="1"/>
  <c r="L56" i="19" s="1"/>
  <c r="D102" i="35" s="1"/>
  <c r="I42" i="19"/>
  <c r="I9" i="19"/>
  <c r="I15" i="19"/>
  <c r="I30" i="19"/>
  <c r="I37" i="19"/>
  <c r="I19" i="19"/>
  <c r="J42" i="19"/>
  <c r="I11" i="19"/>
  <c r="I20" i="19"/>
  <c r="I16" i="19"/>
  <c r="I18" i="19"/>
  <c r="I17" i="19"/>
  <c r="I14" i="19"/>
  <c r="I8" i="19"/>
  <c r="J39" i="19"/>
  <c r="J20" i="19"/>
  <c r="J26" i="19"/>
  <c r="J31" i="19"/>
  <c r="I7" i="19"/>
  <c r="J37" i="19"/>
  <c r="J9" i="19"/>
  <c r="J25" i="19"/>
  <c r="J35" i="19"/>
  <c r="J24" i="19"/>
  <c r="J34" i="19"/>
  <c r="J23" i="19"/>
  <c r="J33" i="19"/>
  <c r="J38" i="19"/>
  <c r="J36" i="19"/>
  <c r="J45" i="19"/>
  <c r="J22" i="19"/>
  <c r="J15" i="19"/>
  <c r="J27" i="19"/>
  <c r="J21" i="19"/>
  <c r="J18" i="19"/>
  <c r="J44" i="19"/>
  <c r="J41" i="19"/>
  <c r="J30" i="19"/>
  <c r="J28" i="19"/>
  <c r="J17" i="19"/>
  <c r="J14" i="19"/>
  <c r="J8" i="19"/>
  <c r="J40" i="19"/>
  <c r="J7" i="19"/>
  <c r="J46" i="19"/>
  <c r="J43" i="19"/>
  <c r="J32" i="19"/>
  <c r="J29" i="19"/>
  <c r="J19" i="19"/>
  <c r="J16" i="19"/>
  <c r="F45" i="35" l="1"/>
  <c r="F60" i="35" s="1"/>
  <c r="F79" i="35" s="1"/>
  <c r="F102" i="18"/>
  <c r="D102" i="18"/>
  <c r="H102" i="18"/>
  <c r="F59" i="32"/>
  <c r="F40" i="32"/>
  <c r="F44" i="32"/>
  <c r="F41" i="32"/>
  <c r="F42" i="32"/>
  <c r="F37" i="32"/>
  <c r="F43" i="32"/>
  <c r="F38" i="32"/>
  <c r="D81" i="32"/>
  <c r="D80" i="32"/>
  <c r="D62" i="32"/>
  <c r="D121" i="32" s="1"/>
  <c r="H79" i="32"/>
  <c r="H80" i="32"/>
  <c r="H81" i="32"/>
  <c r="H78" i="32"/>
  <c r="H77" i="32"/>
  <c r="F45" i="37"/>
  <c r="F60" i="37" s="1"/>
  <c r="F81" i="37" s="1"/>
  <c r="F79" i="37"/>
  <c r="F77" i="37"/>
  <c r="L41" i="33"/>
  <c r="L38" i="33"/>
  <c r="F42" i="33"/>
  <c r="D44" i="33"/>
  <c r="D59" i="33"/>
  <c r="D40" i="33"/>
  <c r="D37" i="33"/>
  <c r="D39" i="33"/>
  <c r="H77" i="33"/>
  <c r="D42" i="33"/>
  <c r="D43" i="33"/>
  <c r="H79" i="33"/>
  <c r="F39" i="33"/>
  <c r="H78" i="33"/>
  <c r="F41" i="33"/>
  <c r="F38" i="33"/>
  <c r="F43" i="33"/>
  <c r="F40" i="33"/>
  <c r="F37" i="33"/>
  <c r="J59" i="33"/>
  <c r="J38" i="33"/>
  <c r="J40" i="33"/>
  <c r="J44" i="33"/>
  <c r="J42" i="33"/>
  <c r="J41" i="33"/>
  <c r="J43" i="33"/>
  <c r="J39" i="33"/>
  <c r="J37" i="33"/>
  <c r="H45" i="35"/>
  <c r="H60" i="35" s="1"/>
  <c r="H79" i="35" s="1"/>
  <c r="D102" i="37"/>
  <c r="D102" i="32"/>
  <c r="D102" i="36"/>
  <c r="D102" i="34"/>
  <c r="D102" i="33"/>
  <c r="D45" i="37"/>
  <c r="D60" i="37" s="1"/>
  <c r="D62" i="37" s="1"/>
  <c r="D121" i="37" s="1"/>
  <c r="F43" i="36"/>
  <c r="F42" i="36"/>
  <c r="F59" i="36"/>
  <c r="F44" i="36"/>
  <c r="F41" i="36"/>
  <c r="F40" i="36"/>
  <c r="F39" i="36"/>
  <c r="F38" i="36"/>
  <c r="F37" i="36"/>
  <c r="D45" i="36"/>
  <c r="D60" i="36" s="1"/>
  <c r="D78" i="36" s="1"/>
  <c r="D45" i="35"/>
  <c r="D60" i="35" s="1"/>
  <c r="D81" i="35" s="1"/>
  <c r="F62" i="35"/>
  <c r="F121" i="35" s="1"/>
  <c r="D45" i="34"/>
  <c r="D60" i="34" s="1"/>
  <c r="D79" i="34" s="1"/>
  <c r="J38" i="34"/>
  <c r="J44" i="34"/>
  <c r="J41" i="34"/>
  <c r="J37" i="34"/>
  <c r="J40" i="34"/>
  <c r="J42" i="34"/>
  <c r="J59" i="34"/>
  <c r="J43" i="34"/>
  <c r="J39" i="34"/>
  <c r="H45" i="34"/>
  <c r="H60" i="34" s="1"/>
  <c r="H62" i="34" s="1"/>
  <c r="H121" i="34" s="1"/>
  <c r="F59" i="34"/>
  <c r="F44" i="34"/>
  <c r="F43" i="34"/>
  <c r="F40" i="34"/>
  <c r="F39" i="34"/>
  <c r="F38" i="34"/>
  <c r="F42" i="34"/>
  <c r="F41" i="34"/>
  <c r="F37" i="34"/>
  <c r="L45" i="33"/>
  <c r="L60" i="33" s="1"/>
  <c r="L81" i="33" s="1"/>
  <c r="H81" i="33"/>
  <c r="H62" i="33"/>
  <c r="H121" i="33" s="1"/>
  <c r="D79" i="32"/>
  <c r="D77" i="32"/>
  <c r="D82" i="32"/>
  <c r="D78" i="32"/>
  <c r="F77" i="35" l="1"/>
  <c r="F80" i="35"/>
  <c r="F81" i="35"/>
  <c r="F83" i="35" s="1"/>
  <c r="F94" i="35" s="1"/>
  <c r="F96" i="35" s="1"/>
  <c r="F123" i="35" s="1"/>
  <c r="D62" i="35"/>
  <c r="D121" i="35" s="1"/>
  <c r="F45" i="32"/>
  <c r="F60" i="32" s="1"/>
  <c r="F62" i="32" s="1"/>
  <c r="F121" i="32" s="1"/>
  <c r="H83" i="32"/>
  <c r="H94" i="32" s="1"/>
  <c r="H96" i="32" s="1"/>
  <c r="H123" i="32" s="1"/>
  <c r="H125" i="32" s="1"/>
  <c r="F62" i="37"/>
  <c r="F121" i="37" s="1"/>
  <c r="F78" i="37"/>
  <c r="F83" i="37" s="1"/>
  <c r="F94" i="37" s="1"/>
  <c r="F96" i="37" s="1"/>
  <c r="F123" i="37" s="1"/>
  <c r="F125" i="37" s="1"/>
  <c r="F80" i="37"/>
  <c r="D81" i="37"/>
  <c r="D77" i="37"/>
  <c r="D79" i="37"/>
  <c r="D78" i="37"/>
  <c r="D80" i="37"/>
  <c r="D82" i="37"/>
  <c r="D45" i="33"/>
  <c r="D60" i="33" s="1"/>
  <c r="D77" i="33" s="1"/>
  <c r="H83" i="33"/>
  <c r="H94" i="33" s="1"/>
  <c r="H96" i="33" s="1"/>
  <c r="H123" i="33" s="1"/>
  <c r="H125" i="33" s="1"/>
  <c r="F45" i="33"/>
  <c r="F60" i="33" s="1"/>
  <c r="F62" i="33" s="1"/>
  <c r="F121" i="33" s="1"/>
  <c r="L80" i="33"/>
  <c r="L62" i="33"/>
  <c r="L121" i="33" s="1"/>
  <c r="J45" i="33"/>
  <c r="J60" i="33" s="1"/>
  <c r="J79" i="33" s="1"/>
  <c r="L78" i="33"/>
  <c r="D81" i="36"/>
  <c r="D82" i="36"/>
  <c r="D62" i="36"/>
  <c r="D121" i="36" s="1"/>
  <c r="D79" i="36"/>
  <c r="D80" i="36"/>
  <c r="H82" i="35"/>
  <c r="H80" i="35"/>
  <c r="F82" i="35"/>
  <c r="H62" i="35"/>
  <c r="H121" i="35" s="1"/>
  <c r="H77" i="35"/>
  <c r="F78" i="35"/>
  <c r="H78" i="35"/>
  <c r="H81" i="35"/>
  <c r="D80" i="35"/>
  <c r="D79" i="35"/>
  <c r="D81" i="34"/>
  <c r="H77" i="34"/>
  <c r="H78" i="34"/>
  <c r="D105" i="33"/>
  <c r="D124" i="33" s="1"/>
  <c r="H102" i="34"/>
  <c r="H105" i="34" s="1"/>
  <c r="H124" i="34" s="1"/>
  <c r="F102" i="34"/>
  <c r="F105" i="34" s="1"/>
  <c r="F124" i="34" s="1"/>
  <c r="D105" i="34"/>
  <c r="D124" i="34" s="1"/>
  <c r="D105" i="36"/>
  <c r="D124" i="36" s="1"/>
  <c r="D105" i="35"/>
  <c r="D124" i="35" s="1"/>
  <c r="D105" i="32"/>
  <c r="D124" i="32" s="1"/>
  <c r="D105" i="37"/>
  <c r="D124" i="37" s="1"/>
  <c r="D77" i="36"/>
  <c r="F45" i="36"/>
  <c r="F60" i="36" s="1"/>
  <c r="F62" i="36" s="1"/>
  <c r="F121" i="36" s="1"/>
  <c r="D78" i="35"/>
  <c r="D82" i="35"/>
  <c r="D77" i="35"/>
  <c r="H80" i="34"/>
  <c r="D78" i="34"/>
  <c r="F45" i="34"/>
  <c r="F60" i="34" s="1"/>
  <c r="F79" i="34" s="1"/>
  <c r="H81" i="34"/>
  <c r="D62" i="34"/>
  <c r="D121" i="34" s="1"/>
  <c r="H79" i="34"/>
  <c r="D77" i="34"/>
  <c r="H82" i="34"/>
  <c r="D80" i="34"/>
  <c r="J45" i="34"/>
  <c r="J60" i="34" s="1"/>
  <c r="J81" i="34" s="1"/>
  <c r="D82" i="34"/>
  <c r="L77" i="33"/>
  <c r="L79" i="33"/>
  <c r="F79" i="32"/>
  <c r="F81" i="32"/>
  <c r="D83" i="32"/>
  <c r="D94" i="32" s="1"/>
  <c r="D96" i="32" s="1"/>
  <c r="D123" i="32" s="1"/>
  <c r="F80" i="32" l="1"/>
  <c r="F77" i="32"/>
  <c r="F78" i="32"/>
  <c r="F82" i="32"/>
  <c r="D83" i="37"/>
  <c r="D94" i="37" s="1"/>
  <c r="D96" i="37" s="1"/>
  <c r="D123" i="37" s="1"/>
  <c r="D125" i="37" s="1"/>
  <c r="D110" i="37" s="1"/>
  <c r="D111" i="37" s="1"/>
  <c r="F78" i="33"/>
  <c r="F80" i="33"/>
  <c r="F81" i="33"/>
  <c r="D79" i="33"/>
  <c r="J78" i="33"/>
  <c r="D62" i="33"/>
  <c r="D121" i="33" s="1"/>
  <c r="D78" i="33"/>
  <c r="F79" i="33"/>
  <c r="D80" i="33"/>
  <c r="D82" i="33"/>
  <c r="D81" i="33"/>
  <c r="F77" i="33"/>
  <c r="J81" i="33"/>
  <c r="J77" i="33"/>
  <c r="L83" i="33"/>
  <c r="L94" i="33" s="1"/>
  <c r="L96" i="33" s="1"/>
  <c r="L123" i="33" s="1"/>
  <c r="L125" i="33" s="1"/>
  <c r="J80" i="33"/>
  <c r="J62" i="33"/>
  <c r="J121" i="33" s="1"/>
  <c r="D83" i="36"/>
  <c r="D94" i="36" s="1"/>
  <c r="D96" i="36" s="1"/>
  <c r="D123" i="36" s="1"/>
  <c r="D125" i="36" s="1"/>
  <c r="D110" i="36" s="1"/>
  <c r="H83" i="35"/>
  <c r="H94" i="35" s="1"/>
  <c r="H96" i="35" s="1"/>
  <c r="H123" i="35" s="1"/>
  <c r="H125" i="35" s="1"/>
  <c r="H110" i="35" s="1"/>
  <c r="H111" i="35" s="1"/>
  <c r="H83" i="34"/>
  <c r="H94" i="34" s="1"/>
  <c r="H96" i="34" s="1"/>
  <c r="H123" i="34" s="1"/>
  <c r="H125" i="34" s="1"/>
  <c r="J78" i="34"/>
  <c r="J79" i="34"/>
  <c r="J77" i="34"/>
  <c r="F110" i="37"/>
  <c r="F111" i="37" s="1"/>
  <c r="F77" i="36"/>
  <c r="F79" i="36"/>
  <c r="F82" i="36"/>
  <c r="F78" i="36"/>
  <c r="F80" i="36"/>
  <c r="F81" i="36"/>
  <c r="D83" i="35"/>
  <c r="D94" i="35" s="1"/>
  <c r="D96" i="35" s="1"/>
  <c r="D123" i="35" s="1"/>
  <c r="F125" i="35"/>
  <c r="J80" i="34"/>
  <c r="D83" i="34"/>
  <c r="D94" i="34" s="1"/>
  <c r="D96" i="34" s="1"/>
  <c r="D123" i="34" s="1"/>
  <c r="F82" i="34"/>
  <c r="F81" i="34"/>
  <c r="J82" i="34"/>
  <c r="F62" i="34"/>
  <c r="F121" i="34" s="1"/>
  <c r="F80" i="34"/>
  <c r="J62" i="34"/>
  <c r="J121" i="34" s="1"/>
  <c r="F77" i="34"/>
  <c r="F78" i="34"/>
  <c r="H110" i="33"/>
  <c r="F83" i="32"/>
  <c r="F94" i="32" s="1"/>
  <c r="F96" i="32" s="1"/>
  <c r="F123" i="32" s="1"/>
  <c r="D125" i="32"/>
  <c r="H110" i="32"/>
  <c r="H8" i="13"/>
  <c r="H7" i="13"/>
  <c r="B10" i="13"/>
  <c r="H20" i="13"/>
  <c r="H19" i="13"/>
  <c r="B22" i="13"/>
  <c r="F23" i="18"/>
  <c r="J21" i="18"/>
  <c r="G15" i="18"/>
  <c r="H21" i="18" s="1"/>
  <c r="E15" i="18"/>
  <c r="F21" i="18" s="1"/>
  <c r="D21" i="18"/>
  <c r="J83" i="34" l="1"/>
  <c r="J94" i="34" s="1"/>
  <c r="J96" i="34" s="1"/>
  <c r="J123" i="34" s="1"/>
  <c r="J125" i="34" s="1"/>
  <c r="F83" i="33"/>
  <c r="F94" i="33" s="1"/>
  <c r="F96" i="33" s="1"/>
  <c r="F123" i="33" s="1"/>
  <c r="F125" i="33" s="1"/>
  <c r="D83" i="33"/>
  <c r="D94" i="33" s="1"/>
  <c r="D96" i="33" s="1"/>
  <c r="D123" i="33" s="1"/>
  <c r="D125" i="33" s="1"/>
  <c r="D110" i="33" s="1"/>
  <c r="J83" i="33"/>
  <c r="J94" i="33" s="1"/>
  <c r="J96" i="33" s="1"/>
  <c r="J123" i="33" s="1"/>
  <c r="J125" i="33" s="1"/>
  <c r="J110" i="33" s="1"/>
  <c r="H127" i="35"/>
  <c r="G124" i="35" s="1"/>
  <c r="F127" i="37"/>
  <c r="D127" i="37"/>
  <c r="F83" i="36"/>
  <c r="F94" i="36" s="1"/>
  <c r="F96" i="36" s="1"/>
  <c r="F123" i="36" s="1"/>
  <c r="D111" i="36"/>
  <c r="F110" i="35"/>
  <c r="D125" i="35"/>
  <c r="F83" i="34"/>
  <c r="F94" i="34" s="1"/>
  <c r="F96" i="34" s="1"/>
  <c r="F123" i="34" s="1"/>
  <c r="D125" i="34"/>
  <c r="H110" i="34"/>
  <c r="H111" i="34" s="1"/>
  <c r="L110" i="33"/>
  <c r="H111" i="33"/>
  <c r="F125" i="32"/>
  <c r="D110" i="32"/>
  <c r="H111" i="32"/>
  <c r="H127" i="32" s="1"/>
  <c r="C118" i="18"/>
  <c r="J111" i="33" l="1"/>
  <c r="J127" i="33" s="1"/>
  <c r="H114" i="35"/>
  <c r="G121" i="35"/>
  <c r="H129" i="35"/>
  <c r="H128" i="35"/>
  <c r="E120" i="35"/>
  <c r="G123" i="35"/>
  <c r="E123" i="35"/>
  <c r="E121" i="35"/>
  <c r="G122" i="35"/>
  <c r="H113" i="35"/>
  <c r="G120" i="35"/>
  <c r="C134" i="35"/>
  <c r="E122" i="35"/>
  <c r="H115" i="35"/>
  <c r="F111" i="35"/>
  <c r="F127" i="35" s="1"/>
  <c r="D128" i="37"/>
  <c r="D113" i="37"/>
  <c r="C132" i="37"/>
  <c r="D129" i="37"/>
  <c r="D114" i="37"/>
  <c r="D115" i="37"/>
  <c r="C124" i="37"/>
  <c r="C120" i="37"/>
  <c r="C122" i="37"/>
  <c r="C121" i="37"/>
  <c r="C123" i="37"/>
  <c r="F114" i="37"/>
  <c r="C133" i="37"/>
  <c r="G133" i="37" s="1"/>
  <c r="F113" i="37"/>
  <c r="F115" i="37"/>
  <c r="D127" i="36"/>
  <c r="F125" i="36"/>
  <c r="D110" i="35"/>
  <c r="D110" i="34"/>
  <c r="D111" i="34" s="1"/>
  <c r="J110" i="34"/>
  <c r="F125" i="34"/>
  <c r="H127" i="34"/>
  <c r="H127" i="33"/>
  <c r="D111" i="33"/>
  <c r="D127" i="33" s="1"/>
  <c r="F110" i="33"/>
  <c r="L111" i="33"/>
  <c r="H114" i="32"/>
  <c r="C134" i="32"/>
  <c r="H115" i="32"/>
  <c r="H113" i="32"/>
  <c r="F110" i="32"/>
  <c r="D111" i="32"/>
  <c r="D127" i="32" s="1"/>
  <c r="H24" i="18"/>
  <c r="C81" i="18"/>
  <c r="C80" i="18"/>
  <c r="C79" i="18"/>
  <c r="C78" i="18"/>
  <c r="E81" i="18"/>
  <c r="E80" i="18"/>
  <c r="E79" i="18"/>
  <c r="E78" i="18"/>
  <c r="G81" i="18"/>
  <c r="G80" i="18"/>
  <c r="G79" i="18"/>
  <c r="G78" i="18"/>
  <c r="G134" i="32" l="1"/>
  <c r="K134" i="32" s="1"/>
  <c r="E31" i="45"/>
  <c r="F31" i="45" s="1"/>
  <c r="G31" i="45" s="1"/>
  <c r="K133" i="37"/>
  <c r="E28" i="45"/>
  <c r="F28" i="45" s="1"/>
  <c r="G28" i="45" s="1"/>
  <c r="G134" i="35"/>
  <c r="K134" i="35" s="1"/>
  <c r="E19" i="45"/>
  <c r="F19" i="45" s="1"/>
  <c r="G19" i="45" s="1"/>
  <c r="G132" i="37"/>
  <c r="K132" i="37" s="1"/>
  <c r="E27" i="45"/>
  <c r="F27" i="45" s="1"/>
  <c r="G27" i="45" s="1"/>
  <c r="H112" i="35"/>
  <c r="H116" i="35" s="1"/>
  <c r="H126" i="35" s="1"/>
  <c r="G126" i="35" s="1"/>
  <c r="G127" i="35" s="1"/>
  <c r="G129" i="35" s="1"/>
  <c r="E124" i="35"/>
  <c r="F129" i="35"/>
  <c r="F128" i="35"/>
  <c r="F113" i="35"/>
  <c r="F115" i="35"/>
  <c r="F114" i="35"/>
  <c r="C133" i="35"/>
  <c r="D112" i="37"/>
  <c r="D116" i="37" s="1"/>
  <c r="D126" i="37" s="1"/>
  <c r="C126" i="37" s="1"/>
  <c r="C127" i="37" s="1"/>
  <c r="E127" i="37"/>
  <c r="F112" i="37"/>
  <c r="F116" i="37" s="1"/>
  <c r="F126" i="37" s="1"/>
  <c r="F110" i="36"/>
  <c r="F111" i="36" s="1"/>
  <c r="D128" i="36"/>
  <c r="D113" i="36"/>
  <c r="C132" i="36"/>
  <c r="D115" i="36"/>
  <c r="D129" i="36"/>
  <c r="D114" i="36"/>
  <c r="C124" i="36"/>
  <c r="C120" i="36"/>
  <c r="C122" i="36"/>
  <c r="C121" i="36"/>
  <c r="C123" i="36"/>
  <c r="D111" i="35"/>
  <c r="D127" i="35" s="1"/>
  <c r="J111" i="34"/>
  <c r="J127" i="34" s="1"/>
  <c r="C134" i="34"/>
  <c r="H115" i="34"/>
  <c r="H129" i="34"/>
  <c r="H128" i="34"/>
  <c r="H113" i="34"/>
  <c r="H114" i="34"/>
  <c r="G124" i="34"/>
  <c r="G120" i="34"/>
  <c r="G122" i="34"/>
  <c r="G121" i="34"/>
  <c r="G123" i="34"/>
  <c r="F110" i="34"/>
  <c r="F111" i="34" s="1"/>
  <c r="D127" i="34"/>
  <c r="H114" i="33"/>
  <c r="C134" i="33"/>
  <c r="H113" i="33"/>
  <c r="H115" i="33"/>
  <c r="D128" i="33"/>
  <c r="D113" i="33"/>
  <c r="C132" i="33"/>
  <c r="D129" i="33"/>
  <c r="D114" i="33"/>
  <c r="D115" i="33"/>
  <c r="C124" i="33"/>
  <c r="C122" i="33"/>
  <c r="C120" i="33"/>
  <c r="C121" i="33"/>
  <c r="C123" i="33"/>
  <c r="L127" i="33"/>
  <c r="J114" i="33"/>
  <c r="J113" i="33"/>
  <c r="C135" i="33"/>
  <c r="J115" i="33"/>
  <c r="F111" i="33"/>
  <c r="F127" i="33" s="1"/>
  <c r="D128" i="32"/>
  <c r="D113" i="32"/>
  <c r="C132" i="32"/>
  <c r="D115" i="32"/>
  <c r="D114" i="32"/>
  <c r="D129" i="32"/>
  <c r="C124" i="32"/>
  <c r="C120" i="32"/>
  <c r="C122" i="32"/>
  <c r="C121" i="32"/>
  <c r="C123" i="32"/>
  <c r="H112" i="32"/>
  <c r="H116" i="32" s="1"/>
  <c r="H126" i="32" s="1"/>
  <c r="F111" i="32"/>
  <c r="F127" i="32" s="1"/>
  <c r="I136" i="18"/>
  <c r="B132" i="18"/>
  <c r="I118" i="18"/>
  <c r="G118" i="18"/>
  <c r="I112" i="18"/>
  <c r="G112" i="18"/>
  <c r="E112" i="18"/>
  <c r="C112" i="18"/>
  <c r="I108" i="18"/>
  <c r="G108" i="18"/>
  <c r="E108" i="18"/>
  <c r="C108" i="18"/>
  <c r="I99" i="18"/>
  <c r="G99" i="18"/>
  <c r="E99" i="18"/>
  <c r="C99" i="18"/>
  <c r="I92" i="18"/>
  <c r="G92" i="18"/>
  <c r="E92" i="18"/>
  <c r="C92" i="18"/>
  <c r="J89" i="18"/>
  <c r="J95" i="18" s="1"/>
  <c r="H89" i="18"/>
  <c r="H95" i="18" s="1"/>
  <c r="F89" i="18"/>
  <c r="F95" i="18" s="1"/>
  <c r="D89" i="18"/>
  <c r="D95" i="18" s="1"/>
  <c r="I86" i="18"/>
  <c r="G86" i="18"/>
  <c r="E86" i="18"/>
  <c r="C86" i="18"/>
  <c r="I81" i="18"/>
  <c r="I80" i="18"/>
  <c r="I79" i="18"/>
  <c r="I78" i="18"/>
  <c r="I75" i="18"/>
  <c r="G75" i="18"/>
  <c r="E75" i="18"/>
  <c r="C75" i="18"/>
  <c r="I69" i="18"/>
  <c r="G69" i="18"/>
  <c r="E69" i="18"/>
  <c r="C69" i="18"/>
  <c r="I67" i="18"/>
  <c r="G67" i="18"/>
  <c r="E67" i="18"/>
  <c r="C67" i="18"/>
  <c r="I65" i="18"/>
  <c r="G65" i="18"/>
  <c r="E65" i="18"/>
  <c r="C65" i="18"/>
  <c r="I57" i="18"/>
  <c r="G57" i="18"/>
  <c r="E57" i="18"/>
  <c r="C57" i="18"/>
  <c r="J52" i="18"/>
  <c r="H52" i="18"/>
  <c r="F52" i="18"/>
  <c r="D52" i="18"/>
  <c r="I48" i="18"/>
  <c r="G48" i="18"/>
  <c r="E48" i="18"/>
  <c r="C48" i="18"/>
  <c r="I45" i="18"/>
  <c r="I70" i="18" s="1"/>
  <c r="G45" i="18"/>
  <c r="G70" i="18" s="1"/>
  <c r="E45" i="18"/>
  <c r="E70" i="18" s="1"/>
  <c r="C45" i="18"/>
  <c r="C70" i="18" s="1"/>
  <c r="I35" i="18"/>
  <c r="G35" i="18"/>
  <c r="E35" i="18"/>
  <c r="C35" i="18"/>
  <c r="I31" i="18"/>
  <c r="I77" i="18" s="1"/>
  <c r="G31" i="18"/>
  <c r="G77" i="18" s="1"/>
  <c r="E31" i="18"/>
  <c r="E77" i="18" s="1"/>
  <c r="C31" i="18"/>
  <c r="C77" i="18" s="1"/>
  <c r="I30" i="18"/>
  <c r="G30" i="18"/>
  <c r="E30" i="18"/>
  <c r="C30" i="18"/>
  <c r="I28" i="18"/>
  <c r="G28" i="18"/>
  <c r="E28" i="18"/>
  <c r="C28" i="18"/>
  <c r="F25" i="18"/>
  <c r="D25" i="18"/>
  <c r="D120" i="18" s="1"/>
  <c r="J50" i="18"/>
  <c r="H50" i="18"/>
  <c r="F50" i="18"/>
  <c r="D50" i="18"/>
  <c r="L11" i="5"/>
  <c r="L12" i="5" s="1"/>
  <c r="L9" i="5"/>
  <c r="L8" i="5"/>
  <c r="L4" i="5"/>
  <c r="L3" i="5"/>
  <c r="G135" i="33" l="1"/>
  <c r="K135" i="33" s="1"/>
  <c r="E25" i="45"/>
  <c r="F25" i="45" s="1"/>
  <c r="G25" i="45" s="1"/>
  <c r="G134" i="33"/>
  <c r="K134" i="33" s="1"/>
  <c r="E24" i="45"/>
  <c r="F24" i="45" s="1"/>
  <c r="G24" i="45" s="1"/>
  <c r="G133" i="35"/>
  <c r="K133" i="35" s="1"/>
  <c r="E18" i="45"/>
  <c r="F18" i="45" s="1"/>
  <c r="G18" i="45" s="1"/>
  <c r="G132" i="33"/>
  <c r="K132" i="33" s="1"/>
  <c r="E22" i="45"/>
  <c r="F22" i="45" s="1"/>
  <c r="G22" i="45" s="1"/>
  <c r="G134" i="34"/>
  <c r="K134" i="34" s="1"/>
  <c r="E12" i="45"/>
  <c r="F12" i="45" s="1"/>
  <c r="G12" i="45" s="1"/>
  <c r="G132" i="32"/>
  <c r="K132" i="32" s="1"/>
  <c r="E29" i="45"/>
  <c r="F29" i="45" s="1"/>
  <c r="G29" i="45" s="1"/>
  <c r="G132" i="36"/>
  <c r="K132" i="36" s="1"/>
  <c r="E20" i="45"/>
  <c r="F20" i="45" s="1"/>
  <c r="G20" i="45" s="1"/>
  <c r="F112" i="35"/>
  <c r="F116" i="35" s="1"/>
  <c r="F126" i="35" s="1"/>
  <c r="E126" i="35" s="1"/>
  <c r="E127" i="35" s="1"/>
  <c r="J112" i="33"/>
  <c r="J116" i="33" s="1"/>
  <c r="J126" i="33" s="1"/>
  <c r="G128" i="35"/>
  <c r="K134" i="37"/>
  <c r="E129" i="37"/>
  <c r="E128" i="37"/>
  <c r="F127" i="36"/>
  <c r="D112" i="36"/>
  <c r="D116" i="36" s="1"/>
  <c r="D126" i="36" s="1"/>
  <c r="C126" i="36" s="1"/>
  <c r="C127" i="36" s="1"/>
  <c r="D128" i="35"/>
  <c r="D113" i="35"/>
  <c r="C132" i="35"/>
  <c r="D114" i="35"/>
  <c r="D129" i="35"/>
  <c r="D115" i="35"/>
  <c r="C124" i="35"/>
  <c r="C120" i="35"/>
  <c r="C122" i="35"/>
  <c r="C121" i="35"/>
  <c r="C123" i="35"/>
  <c r="J115" i="34"/>
  <c r="C135" i="34"/>
  <c r="J129" i="34"/>
  <c r="J114" i="34"/>
  <c r="J128" i="34"/>
  <c r="J113" i="34"/>
  <c r="I124" i="34"/>
  <c r="I120" i="34"/>
  <c r="I122" i="34"/>
  <c r="I123" i="34"/>
  <c r="I121" i="34"/>
  <c r="D128" i="34"/>
  <c r="D113" i="34"/>
  <c r="C132" i="34"/>
  <c r="D129" i="34"/>
  <c r="D114" i="34"/>
  <c r="D115" i="34"/>
  <c r="C124" i="34"/>
  <c r="C120" i="34"/>
  <c r="C122" i="34"/>
  <c r="C121" i="34"/>
  <c r="C123" i="34"/>
  <c r="F127" i="34"/>
  <c r="H112" i="34"/>
  <c r="H116" i="34" s="1"/>
  <c r="H126" i="34" s="1"/>
  <c r="G126" i="34" s="1"/>
  <c r="G127" i="34" s="1"/>
  <c r="L113" i="33"/>
  <c r="C136" i="33"/>
  <c r="L114" i="33"/>
  <c r="L115" i="33"/>
  <c r="H112" i="33"/>
  <c r="H116" i="33" s="1"/>
  <c r="H126" i="33" s="1"/>
  <c r="D112" i="33"/>
  <c r="D116" i="33" s="1"/>
  <c r="D126" i="33" s="1"/>
  <c r="C126" i="33" s="1"/>
  <c r="C127" i="33" s="1"/>
  <c r="F115" i="33"/>
  <c r="F129" i="33"/>
  <c r="C133" i="33"/>
  <c r="F128" i="33"/>
  <c r="F113" i="33"/>
  <c r="F114" i="33"/>
  <c r="E124" i="33"/>
  <c r="E120" i="33"/>
  <c r="E122" i="33"/>
  <c r="E121" i="33"/>
  <c r="E123" i="33"/>
  <c r="D112" i="32"/>
  <c r="D116" i="32" s="1"/>
  <c r="D126" i="32" s="1"/>
  <c r="C126" i="32" s="1"/>
  <c r="C127" i="32" s="1"/>
  <c r="F115" i="32"/>
  <c r="F114" i="32"/>
  <c r="F113" i="32"/>
  <c r="F129" i="32"/>
  <c r="F128" i="32"/>
  <c r="C133" i="32"/>
  <c r="E124" i="32"/>
  <c r="E122" i="32"/>
  <c r="E120" i="32"/>
  <c r="E121" i="32"/>
  <c r="E123" i="32"/>
  <c r="F31" i="18"/>
  <c r="D54" i="18"/>
  <c r="D61" i="18" s="1"/>
  <c r="F54" i="18"/>
  <c r="F61" i="18" s="1"/>
  <c r="E32" i="18"/>
  <c r="J54" i="18"/>
  <c r="J61" i="18" s="1"/>
  <c r="H54" i="18"/>
  <c r="H61" i="18" s="1"/>
  <c r="G32" i="18"/>
  <c r="I32" i="18"/>
  <c r="C32" i="18"/>
  <c r="J25" i="18"/>
  <c r="J30" i="18" s="1"/>
  <c r="D31" i="18"/>
  <c r="H25" i="18"/>
  <c r="D69" i="18"/>
  <c r="D70" i="18" s="1"/>
  <c r="D67" i="18"/>
  <c r="F69" i="18"/>
  <c r="F70" i="18" s="1"/>
  <c r="D30" i="18"/>
  <c r="F67" i="18"/>
  <c r="F30" i="18"/>
  <c r="D71" i="18"/>
  <c r="F120" i="18"/>
  <c r="F71" i="18"/>
  <c r="G133" i="32" l="1"/>
  <c r="K133" i="32" s="1"/>
  <c r="E30" i="45"/>
  <c r="F30" i="45" s="1"/>
  <c r="G30" i="45" s="1"/>
  <c r="G136" i="33"/>
  <c r="K136" i="33" s="1"/>
  <c r="K137" i="33" s="1"/>
  <c r="E26" i="45"/>
  <c r="F26" i="45" s="1"/>
  <c r="G26" i="45" s="1"/>
  <c r="G133" i="33"/>
  <c r="K133" i="33" s="1"/>
  <c r="E23" i="45"/>
  <c r="F23" i="45" s="1"/>
  <c r="G23" i="45" s="1"/>
  <c r="G135" i="34"/>
  <c r="K135" i="34" s="1"/>
  <c r="E15" i="45"/>
  <c r="F15" i="45" s="1"/>
  <c r="G15" i="45" s="1"/>
  <c r="G132" i="35"/>
  <c r="K132" i="35" s="1"/>
  <c r="E17" i="45"/>
  <c r="F17" i="45" s="1"/>
  <c r="G17" i="45" s="1"/>
  <c r="G132" i="34"/>
  <c r="K132" i="34" s="1"/>
  <c r="E14" i="45"/>
  <c r="F14" i="45" s="1"/>
  <c r="G14" i="45" s="1"/>
  <c r="E16" i="45"/>
  <c r="F16" i="45" s="1"/>
  <c r="G16" i="45" s="1"/>
  <c r="F112" i="32"/>
  <c r="F116" i="32" s="1"/>
  <c r="F126" i="32" s="1"/>
  <c r="E126" i="32" s="1"/>
  <c r="E127" i="32" s="1"/>
  <c r="I127" i="33"/>
  <c r="I128" i="33" s="1"/>
  <c r="F112" i="33"/>
  <c r="F116" i="33" s="1"/>
  <c r="F126" i="33" s="1"/>
  <c r="E126" i="33" s="1"/>
  <c r="E127" i="33" s="1"/>
  <c r="K135" i="32"/>
  <c r="K136" i="32" s="1"/>
  <c r="D112" i="34"/>
  <c r="D116" i="34" s="1"/>
  <c r="D126" i="34" s="1"/>
  <c r="C126" i="34" s="1"/>
  <c r="C127" i="34" s="1"/>
  <c r="K136" i="37"/>
  <c r="K135" i="37"/>
  <c r="F115" i="36"/>
  <c r="F129" i="36"/>
  <c r="F114" i="36"/>
  <c r="C133" i="36"/>
  <c r="F128" i="36"/>
  <c r="F113" i="36"/>
  <c r="E124" i="36"/>
  <c r="E120" i="36"/>
  <c r="E122" i="36"/>
  <c r="E121" i="36"/>
  <c r="E123" i="36"/>
  <c r="D112" i="35"/>
  <c r="D116" i="35" s="1"/>
  <c r="D126" i="35" s="1"/>
  <c r="C126" i="35" s="1"/>
  <c r="C127" i="35" s="1"/>
  <c r="K135" i="35"/>
  <c r="J112" i="34"/>
  <c r="J116" i="34" s="1"/>
  <c r="J126" i="34" s="1"/>
  <c r="I126" i="34" s="1"/>
  <c r="I127" i="34" s="1"/>
  <c r="F128" i="34"/>
  <c r="F113" i="34"/>
  <c r="F115" i="34"/>
  <c r="C133" i="34"/>
  <c r="F114" i="34"/>
  <c r="F129" i="34"/>
  <c r="E124" i="34"/>
  <c r="E120" i="34"/>
  <c r="E122" i="34"/>
  <c r="E121" i="34"/>
  <c r="E123" i="34"/>
  <c r="G129" i="33"/>
  <c r="G128" i="33"/>
  <c r="L112" i="33"/>
  <c r="L116" i="33" s="1"/>
  <c r="L126" i="33" s="1"/>
  <c r="K127" i="33" s="1"/>
  <c r="F32" i="18"/>
  <c r="F41" i="18" s="1"/>
  <c r="D32" i="18"/>
  <c r="D41" i="18" s="1"/>
  <c r="J120" i="18"/>
  <c r="J69" i="18"/>
  <c r="J70" i="18" s="1"/>
  <c r="J71" i="18"/>
  <c r="J31" i="18"/>
  <c r="J32" i="18" s="1"/>
  <c r="J67" i="18"/>
  <c r="J68" i="18" s="1"/>
  <c r="D68" i="18"/>
  <c r="D72" i="18" s="1"/>
  <c r="D122" i="18" s="1"/>
  <c r="F68" i="18"/>
  <c r="F72" i="18" s="1"/>
  <c r="F122" i="18" s="1"/>
  <c r="H120" i="18"/>
  <c r="H71" i="18"/>
  <c r="H67" i="18"/>
  <c r="H69" i="18"/>
  <c r="H70" i="18" s="1"/>
  <c r="H30" i="18"/>
  <c r="H31" i="18"/>
  <c r="G133" i="36" l="1"/>
  <c r="K133" i="36" s="1"/>
  <c r="E21" i="45"/>
  <c r="F21" i="45" s="1"/>
  <c r="G21" i="45" s="1"/>
  <c r="G133" i="34"/>
  <c r="K133" i="34" s="1"/>
  <c r="K136" i="34" s="1"/>
  <c r="K137" i="34" s="1"/>
  <c r="E13" i="45"/>
  <c r="F13" i="45" s="1"/>
  <c r="G13" i="45" s="1"/>
  <c r="K137" i="32"/>
  <c r="I129" i="33"/>
  <c r="F112" i="36"/>
  <c r="F116" i="36" s="1"/>
  <c r="F126" i="36" s="1"/>
  <c r="E126" i="36" s="1"/>
  <c r="E127" i="36" s="1"/>
  <c r="K134" i="36"/>
  <c r="K137" i="35"/>
  <c r="K136" i="35"/>
  <c r="F112" i="34"/>
  <c r="F116" i="34" s="1"/>
  <c r="F126" i="34" s="1"/>
  <c r="E126" i="34" s="1"/>
  <c r="E127" i="34" s="1"/>
  <c r="K128" i="33"/>
  <c r="K129" i="33"/>
  <c r="K139" i="33"/>
  <c r="K138" i="33"/>
  <c r="D38" i="18"/>
  <c r="F38" i="18"/>
  <c r="F39" i="18"/>
  <c r="F43" i="18"/>
  <c r="F42" i="18"/>
  <c r="F37" i="18"/>
  <c r="F44" i="18"/>
  <c r="F59" i="18"/>
  <c r="F40" i="18"/>
  <c r="D43" i="18"/>
  <c r="D40" i="18"/>
  <c r="D37" i="18"/>
  <c r="D59" i="18"/>
  <c r="D39" i="18"/>
  <c r="D42" i="18"/>
  <c r="D44" i="18"/>
  <c r="J41" i="18"/>
  <c r="J44" i="18"/>
  <c r="J59" i="18"/>
  <c r="J42" i="18"/>
  <c r="J37" i="18"/>
  <c r="J40" i="18"/>
  <c r="J38" i="18"/>
  <c r="J39" i="18"/>
  <c r="J43" i="18"/>
  <c r="J72" i="18"/>
  <c r="J122" i="18" s="1"/>
  <c r="H32" i="18"/>
  <c r="H68" i="18"/>
  <c r="H72" i="18" s="1"/>
  <c r="H122" i="18" s="1"/>
  <c r="K138" i="34" l="1"/>
  <c r="K136" i="36"/>
  <c r="K135" i="36"/>
  <c r="F45" i="18"/>
  <c r="F60" i="18" s="1"/>
  <c r="F81" i="18" s="1"/>
  <c r="D45" i="18"/>
  <c r="D60" i="18" s="1"/>
  <c r="D78" i="18" s="1"/>
  <c r="J45" i="18"/>
  <c r="J60" i="18" s="1"/>
  <c r="J62" i="18" s="1"/>
  <c r="J121" i="18" s="1"/>
  <c r="H37" i="18"/>
  <c r="H40" i="18"/>
  <c r="H43" i="18"/>
  <c r="H38" i="18"/>
  <c r="H41" i="18"/>
  <c r="H59" i="18"/>
  <c r="H44" i="18"/>
  <c r="H39" i="18"/>
  <c r="H42" i="18"/>
  <c r="H24" i="11"/>
  <c r="H25" i="11" s="1"/>
  <c r="B27" i="11"/>
  <c r="F78" i="18" l="1"/>
  <c r="F80" i="18"/>
  <c r="F82" i="18"/>
  <c r="F79" i="18"/>
  <c r="D80" i="18"/>
  <c r="F77" i="18"/>
  <c r="F62" i="18"/>
  <c r="F121" i="18" s="1"/>
  <c r="D77" i="18"/>
  <c r="D62" i="18"/>
  <c r="D121" i="18" s="1"/>
  <c r="D82" i="18"/>
  <c r="D81" i="18"/>
  <c r="D79" i="18"/>
  <c r="J77" i="18"/>
  <c r="J80" i="18"/>
  <c r="J78" i="18"/>
  <c r="J81" i="18"/>
  <c r="J82" i="18"/>
  <c r="J79" i="18"/>
  <c r="H45" i="18"/>
  <c r="H60" i="18" s="1"/>
  <c r="H62" i="18" s="1"/>
  <c r="H121" i="18" s="1"/>
  <c r="B22" i="11"/>
  <c r="B23" i="11"/>
  <c r="H26" i="11"/>
  <c r="F83" i="18" l="1"/>
  <c r="F94" i="18" s="1"/>
  <c r="F96" i="18" s="1"/>
  <c r="F123" i="18" s="1"/>
  <c r="D83" i="18"/>
  <c r="D94" i="18" s="1"/>
  <c r="D96" i="18" s="1"/>
  <c r="D123" i="18" s="1"/>
  <c r="J83" i="18"/>
  <c r="J94" i="18" s="1"/>
  <c r="J96" i="18" s="1"/>
  <c r="J123" i="18" s="1"/>
  <c r="H79" i="18"/>
  <c r="H80" i="18"/>
  <c r="H81" i="18"/>
  <c r="H82" i="18"/>
  <c r="H77" i="18"/>
  <c r="H78" i="18"/>
  <c r="B25" i="11"/>
  <c r="B24" i="11"/>
  <c r="H23" i="11" l="1"/>
  <c r="H83" i="18"/>
  <c r="H94" i="18" s="1"/>
  <c r="H96" i="18" s="1"/>
  <c r="H123" i="18" s="1"/>
  <c r="B26" i="11"/>
  <c r="B30" i="11" l="1"/>
  <c r="B31" i="11" s="1"/>
  <c r="J101" i="18"/>
  <c r="J105" i="18" s="1"/>
  <c r="J124" i="18" s="1"/>
  <c r="J125" i="18" s="1"/>
  <c r="I110" i="18"/>
  <c r="G110" i="18"/>
  <c r="E110" i="18"/>
  <c r="C110" i="18"/>
  <c r="B18" i="13"/>
  <c r="B17" i="13"/>
  <c r="B6" i="13"/>
  <c r="B5" i="13"/>
  <c r="J110" i="18" l="1"/>
  <c r="J111" i="18" s="1"/>
  <c r="J127" i="18" s="1"/>
  <c r="C135" i="18" s="1"/>
  <c r="E4" i="45" s="1"/>
  <c r="F4" i="45" s="1"/>
  <c r="G4" i="45" s="1"/>
  <c r="H21" i="13"/>
  <c r="H9" i="13"/>
  <c r="H7" i="11"/>
  <c r="I124" i="18" l="1"/>
  <c r="I120" i="18"/>
  <c r="I123" i="18"/>
  <c r="J115" i="18"/>
  <c r="I122" i="18"/>
  <c r="J129" i="18"/>
  <c r="I121" i="18"/>
  <c r="J113" i="18"/>
  <c r="J128" i="18"/>
  <c r="J114" i="18"/>
  <c r="G135" i="18"/>
  <c r="K135" i="18" s="1"/>
  <c r="B7" i="13"/>
  <c r="B20" i="13"/>
  <c r="B19" i="13"/>
  <c r="H18" i="13" s="1"/>
  <c r="B8" i="13"/>
  <c r="J112" i="18" l="1"/>
  <c r="J116" i="18" s="1"/>
  <c r="J126" i="18" s="1"/>
  <c r="I126" i="18" s="1"/>
  <c r="I127" i="18" s="1"/>
  <c r="B21" i="13"/>
  <c r="H6" i="13"/>
  <c r="B9" i="13"/>
  <c r="B10" i="11"/>
  <c r="H8" i="11"/>
  <c r="H9" i="11" s="1"/>
  <c r="B6" i="11"/>
  <c r="B5" i="11"/>
  <c r="F101" i="18" l="1"/>
  <c r="F105" i="18" s="1"/>
  <c r="F124" i="18" s="1"/>
  <c r="H101" i="18"/>
  <c r="H105" i="18" s="1"/>
  <c r="H124" i="18" s="1"/>
  <c r="D101" i="18"/>
  <c r="D105" i="18" s="1"/>
  <c r="D124" i="18" s="1"/>
  <c r="B8" i="11"/>
  <c r="B7" i="11"/>
  <c r="F125" i="18" l="1"/>
  <c r="D125" i="18"/>
  <c r="H125" i="18"/>
  <c r="B9" i="11"/>
  <c r="B13" i="11" s="1"/>
  <c r="B14" i="11" s="1"/>
  <c r="H6" i="11"/>
  <c r="H110" i="18" l="1"/>
  <c r="H111" i="18" s="1"/>
  <c r="H127" i="18" s="1"/>
  <c r="D110" i="18"/>
  <c r="D111" i="18" s="1"/>
  <c r="D127" i="18" s="1"/>
  <c r="F110" i="18"/>
  <c r="F111" i="18" s="1"/>
  <c r="F127" i="18" s="1"/>
  <c r="L13" i="5"/>
  <c r="C134" i="18" l="1"/>
  <c r="G122" i="18"/>
  <c r="G121" i="18"/>
  <c r="H114" i="18"/>
  <c r="G123" i="18"/>
  <c r="H115" i="18"/>
  <c r="H113" i="18"/>
  <c r="H128" i="18"/>
  <c r="H129" i="18"/>
  <c r="G120" i="18"/>
  <c r="G124" i="18"/>
  <c r="F129" i="18"/>
  <c r="F114" i="18"/>
  <c r="C133" i="18"/>
  <c r="F128" i="18"/>
  <c r="F113" i="18"/>
  <c r="E123" i="18"/>
  <c r="E122" i="18"/>
  <c r="E121" i="18"/>
  <c r="F115" i="18"/>
  <c r="E120" i="18"/>
  <c r="E124" i="18"/>
  <c r="D113" i="18"/>
  <c r="C120" i="18"/>
  <c r="D115" i="18"/>
  <c r="C123" i="18"/>
  <c r="C122" i="18"/>
  <c r="C132" i="18"/>
  <c r="D129" i="18"/>
  <c r="D128" i="18"/>
  <c r="C121" i="18"/>
  <c r="D114" i="18"/>
  <c r="C124" i="18"/>
  <c r="L6" i="5"/>
  <c r="L5" i="5"/>
  <c r="G133" i="18" l="1"/>
  <c r="K133" i="18" s="1"/>
  <c r="E9" i="45"/>
  <c r="F9" i="45" s="1"/>
  <c r="G9" i="45" s="1"/>
  <c r="E11" i="45"/>
  <c r="F11" i="45" s="1"/>
  <c r="G11" i="45" s="1"/>
  <c r="E10" i="45"/>
  <c r="F10" i="45" s="1"/>
  <c r="G10" i="45" s="1"/>
  <c r="G132" i="18"/>
  <c r="K132" i="18" s="1"/>
  <c r="E8" i="45"/>
  <c r="F8" i="45" s="1"/>
  <c r="G8" i="45" s="1"/>
  <c r="E6" i="45"/>
  <c r="F6" i="45" s="1"/>
  <c r="G6" i="45" s="1"/>
  <c r="E3" i="45"/>
  <c r="E7" i="45"/>
  <c r="F7" i="45" s="1"/>
  <c r="G7" i="45" s="1"/>
  <c r="G134" i="18"/>
  <c r="K134" i="18" s="1"/>
  <c r="E5" i="45"/>
  <c r="F5" i="45" s="1"/>
  <c r="G5" i="45" s="1"/>
  <c r="F112" i="18"/>
  <c r="F116" i="18" s="1"/>
  <c r="F126" i="18" s="1"/>
  <c r="E126" i="18" s="1"/>
  <c r="E127" i="18" s="1"/>
  <c r="H112" i="18"/>
  <c r="H116" i="18" s="1"/>
  <c r="H126" i="18" s="1"/>
  <c r="G126" i="18" s="1"/>
  <c r="G127" i="18" s="1"/>
  <c r="D112" i="18"/>
  <c r="D116" i="18" s="1"/>
  <c r="D126" i="18" s="1"/>
  <c r="C126" i="18" s="1"/>
  <c r="C127" i="18" s="1"/>
  <c r="L7" i="5"/>
  <c r="L10" i="5"/>
  <c r="K136" i="18" l="1"/>
  <c r="K137" i="18" s="1"/>
  <c r="F3" i="45"/>
  <c r="E32" i="45"/>
  <c r="G127" i="32"/>
  <c r="G128" i="32" s="1"/>
  <c r="K138" i="18" l="1"/>
  <c r="G3" i="45"/>
  <c r="F32" i="45"/>
  <c r="G32" i="45" s="1"/>
  <c r="G129" i="32"/>
</calcChain>
</file>

<file path=xl/sharedStrings.xml><?xml version="1.0" encoding="utf-8"?>
<sst xmlns="http://schemas.openxmlformats.org/spreadsheetml/2006/main" count="2472" uniqueCount="394">
  <si>
    <t>A</t>
  </si>
  <si>
    <t>B</t>
  </si>
  <si>
    <t>C</t>
  </si>
  <si>
    <t>D</t>
  </si>
  <si>
    <t>Módulo 1 - Composição da Remuneração</t>
  </si>
  <si>
    <t>Composição da Remuneração</t>
  </si>
  <si>
    <t>(R$)</t>
  </si>
  <si>
    <t>Salário Base</t>
  </si>
  <si>
    <t>Outros (especificar)</t>
  </si>
  <si>
    <t>Total:</t>
  </si>
  <si>
    <t>Submódulo 2.1 - Encargos e Benefícios Anuais, Mensais e Diários</t>
  </si>
  <si>
    <t>2.1</t>
  </si>
  <si>
    <t>13º salário e adicional de férias</t>
  </si>
  <si>
    <t>(%)</t>
  </si>
  <si>
    <t>13º (décimo terceiro) Salário</t>
  </si>
  <si>
    <t>Submódulo 2.2 - Encargos Previdenciários (GPS), Fundo de Garantia por Tempo de Serviço (FGTS) e outras contribuições.</t>
  </si>
  <si>
    <t>2.2</t>
  </si>
  <si>
    <t>GPS, FGTS e outras contribuições</t>
  </si>
  <si>
    <t>INSS</t>
  </si>
  <si>
    <t>Salário Educação</t>
  </si>
  <si>
    <t>SAT</t>
  </si>
  <si>
    <t>SESC ou SESI</t>
  </si>
  <si>
    <t>E</t>
  </si>
  <si>
    <t>SENAI - SENAC</t>
  </si>
  <si>
    <t>F</t>
  </si>
  <si>
    <t>SEBRAE</t>
  </si>
  <si>
    <t>G</t>
  </si>
  <si>
    <t>INCRA</t>
  </si>
  <si>
    <t>H</t>
  </si>
  <si>
    <t>FGTS</t>
  </si>
  <si>
    <t>Submódulo 2.3 - Benefícios Mensais e Diários</t>
  </si>
  <si>
    <t>2.3</t>
  </si>
  <si>
    <t>Benefícios Mensais e Diários</t>
  </si>
  <si>
    <t>Valor do Bilhete</t>
  </si>
  <si>
    <t>Transporte</t>
  </si>
  <si>
    <t>Auxílio-Refeição/Alimentação</t>
  </si>
  <si>
    <t>Valor do Ticket</t>
  </si>
  <si>
    <t>Quadro Resumo do Módulo 2 - Encargos e Benefícios Anuais, Mensais e Diários</t>
  </si>
  <si>
    <t>13º (décimo terceiro) Salário, Férias e Adicional de Férias</t>
  </si>
  <si>
    <t>Módulo 3  - Provisão para Rescisão</t>
  </si>
  <si>
    <t>Provisão para Rescisão</t>
  </si>
  <si>
    <t>Aviso prévio indenizado</t>
  </si>
  <si>
    <t>Incidência do FGTS sobre Aviso prévio indenizado</t>
  </si>
  <si>
    <t>Aviso prévio trabalhado</t>
  </si>
  <si>
    <t>Incidência de GPS, FGTS sobre o Aviso Prévio Trabalhado</t>
  </si>
  <si>
    <t>Multa do FGTS sobre o Aviso Prévio Trabalhado e Indenizado</t>
  </si>
  <si>
    <t>4.1</t>
  </si>
  <si>
    <t>Substituto na cobertura de Férias</t>
  </si>
  <si>
    <t>Substituto na cobertura de Ausências Legais</t>
  </si>
  <si>
    <t>Substituto na cobertura de Licença-Paternidade</t>
  </si>
  <si>
    <t>Substituto na cobertura de Ausência por acidente de trabalho</t>
  </si>
  <si>
    <t>Substituto na cobertura de Afastamento Maternidade</t>
  </si>
  <si>
    <t>Substituto na cobertura de Outras ausências (especificar)</t>
  </si>
  <si>
    <t>Submódulo 4.2 - Substituto na Intrajornada</t>
  </si>
  <si>
    <t>4.2</t>
  </si>
  <si>
    <t>Substituto na cobertura de Intervalo para repouso ou alimentação</t>
  </si>
  <si>
    <t>Quadro Resumo do Módulo 4 - Custo de Reposição do Profissional Ausente</t>
  </si>
  <si>
    <t>Substituto nas Ausências Legais</t>
  </si>
  <si>
    <t>Substituto na Intrajornada</t>
  </si>
  <si>
    <t>Módulo 5 - Insumos Diversos</t>
  </si>
  <si>
    <t>Insumos Diversos</t>
  </si>
  <si>
    <t>Materiais</t>
  </si>
  <si>
    <t>Equipamentos</t>
  </si>
  <si>
    <t>Módulo 6 - Custos Indiretos, Tributos e Lucro</t>
  </si>
  <si>
    <t>Custos Indiretos</t>
  </si>
  <si>
    <t>Lucro</t>
  </si>
  <si>
    <t>Tributos</t>
  </si>
  <si>
    <t>C.1</t>
  </si>
  <si>
    <t>PIS</t>
  </si>
  <si>
    <t>C.2</t>
  </si>
  <si>
    <t>COFINS</t>
  </si>
  <si>
    <t>C.3</t>
  </si>
  <si>
    <t>ISS</t>
  </si>
  <si>
    <t>Quadro Resumo do custo por empregado</t>
  </si>
  <si>
    <t>Valor por empregado</t>
  </si>
  <si>
    <t>Módulo 1 – Composição da Remuneração</t>
  </si>
  <si>
    <t>Módulo 2 – Encargos e Benefícios Anuais, Mensais e Diários</t>
  </si>
  <si>
    <t>Módulo 3 – Provisão para rescisão</t>
  </si>
  <si>
    <t>Módulo 4 – Custo de Reposição do profissional ausente</t>
  </si>
  <si>
    <t>Módulo 5 – Insumos Diversos</t>
  </si>
  <si>
    <t>Subtotal ( A + B + C + D + E)</t>
  </si>
  <si>
    <t>Valor total por empregado</t>
  </si>
  <si>
    <t>Tipo de Serviço
(A)</t>
  </si>
  <si>
    <t>Valor Proposto por Empregado 
(B)</t>
  </si>
  <si>
    <t>Qtde. de Empregados por Posto
(C)</t>
  </si>
  <si>
    <t>Valor Proposto por Posto 
(D) = (B x C)</t>
  </si>
  <si>
    <t>Qtde. de Postos 
(E)</t>
  </si>
  <si>
    <t>Valor Total do Serviço
(F) = (D x E)</t>
  </si>
  <si>
    <t>I</t>
  </si>
  <si>
    <t>II</t>
  </si>
  <si>
    <t>III</t>
  </si>
  <si>
    <t>IV</t>
  </si>
  <si>
    <t>V</t>
  </si>
  <si>
    <t>Valor Mensal dos Serviços</t>
  </si>
  <si>
    <t>Total Mensal</t>
  </si>
  <si>
    <t>VI</t>
  </si>
  <si>
    <t>Adicional de hora noturna (incluso hora noturna reduzida)</t>
  </si>
  <si>
    <t>Submódulo 4.1 - Custo de Reposição do Profissional Ausente</t>
  </si>
  <si>
    <t>Ausências Legais</t>
  </si>
  <si>
    <t>Custo de Reposição do Profissional Ausente</t>
  </si>
  <si>
    <t>CITL</t>
  </si>
  <si>
    <t>Contratante</t>
  </si>
  <si>
    <t>Nomenclatura do cargo</t>
  </si>
  <si>
    <t>Graduação exigida</t>
  </si>
  <si>
    <t>Tempo de experiência</t>
  </si>
  <si>
    <t>Salário base</t>
  </si>
  <si>
    <t>Pregão Eletrônico nº</t>
  </si>
  <si>
    <t>Número do Contrato</t>
  </si>
  <si>
    <t>UASG</t>
  </si>
  <si>
    <t>Ministério da Infraestrutura</t>
  </si>
  <si>
    <t>Assistente Administrativo</t>
  </si>
  <si>
    <t>Nível médio</t>
  </si>
  <si>
    <t>1 ano</t>
  </si>
  <si>
    <t>13/2018</t>
  </si>
  <si>
    <t>21/2018</t>
  </si>
  <si>
    <t>Tribunal de Contas da União</t>
  </si>
  <si>
    <t>Suporte Administrativo - Apoio I</t>
  </si>
  <si>
    <t>20/2022</t>
  </si>
  <si>
    <t>25/2022</t>
  </si>
  <si>
    <t>ENAP</t>
  </si>
  <si>
    <t>Auxiliar Administrativo Nível I</t>
  </si>
  <si>
    <t>6/2022</t>
  </si>
  <si>
    <t>18/2021</t>
  </si>
  <si>
    <t>-</t>
  </si>
  <si>
    <t>Câmara dos Deputados</t>
  </si>
  <si>
    <t>Técnico de Apoio - Nível 1</t>
  </si>
  <si>
    <t>6 meses</t>
  </si>
  <si>
    <t>130/2020</t>
  </si>
  <si>
    <t>189/2020</t>
  </si>
  <si>
    <t>Média</t>
  </si>
  <si>
    <t>Média - Desvio (limite inferior)</t>
  </si>
  <si>
    <t>Média + Desvio (limite superior)</t>
  </si>
  <si>
    <t>Média Final (excetuando-se os inexequíveis e excessivamente elevados)</t>
  </si>
  <si>
    <t>Quantidade de preços</t>
  </si>
  <si>
    <t>Quantidade de preços (excetuando-se os inexequíveis e excessivamente elevados)</t>
  </si>
  <si>
    <t>13/2022</t>
  </si>
  <si>
    <t xml:space="preserve"> - De acordo com o Referencial Técnico de Custos do MPU, o percentual de frequência anual estimada de licenças por acidentes de trabalho é de aproximadamente 0,44%. Dessa forma o cálculo corresponde a: [(15 / 360) x 0,44%)], onde 15 = nº de dias da licença</t>
  </si>
  <si>
    <t xml:space="preserve"> - Valores obtidos conforme pesquisa de mercado para cargos com atividades e qualificações compatíveis.</t>
  </si>
  <si>
    <t xml:space="preserve"> - Conforme Lei nº 4.090/1962 e Art. 7º, inciso VIII da Constituição Federal de 1988. Percentual de provisão mensal: 1/12 = 8,33%</t>
  </si>
  <si>
    <t xml:space="preserve"> - Conforme Art. 7º, inciso XVII da Constituição Federal de 1988. Percentual de provisão mensal conforme Anexo XII da IN 05/17: (1/3)/11 = 3,03% ≅ 3,025%</t>
  </si>
  <si>
    <t xml:space="preserve"> - 20%, conforme art. 22, inciso I, da Lei 8.212/91.</t>
  </si>
  <si>
    <t xml:space="preserve"> - 2,50%, conforme art. 15, da Lei nº 9.424/96; do art. 2º do Decreto nº 3.142/99; e art. 212, § 5º da CF.</t>
  </si>
  <si>
    <t xml:space="preserve"> - O SAT a depender do grau de risco do serviço irá variar entre 1%, para risco leve, de 2%, para risco médio, e de 3% de risco grave. Além disso, o SAT pode ser multiplicado por um índice (FAP) que varia entre 0,5 e 2, fazendo com que este item da planilha possa varia entre 0,5 e 6,00%. Para fins de elaboração de preço de referência, usou-se o percentual intermediário de 3,00%. </t>
  </si>
  <si>
    <t xml:space="preserve"> - 1,50%, conforme art. 30 da Lei nº 8.036/90.</t>
  </si>
  <si>
    <t xml:space="preserve"> - 1,00%, conforme Decreto-Lei nº 2.318/86.</t>
  </si>
  <si>
    <t xml:space="preserve"> - 0,60%, conforme Lei nº 8.029/90.</t>
  </si>
  <si>
    <t xml:space="preserve"> - 0,20%, conf. art. 1º e 2º do Decreto-Lei nº 1.146/70.</t>
  </si>
  <si>
    <t xml:space="preserve"> - 8,00%. O tributo está previsto no art. 7º, Inciso III, da Constituição Federal, tendo sido regulamentado pela Lei nº 8.030/90, art. 15.</t>
  </si>
  <si>
    <t xml:space="preserve"> - Foi considerado o valor da passagem de R$ 5,50, definido no inciso III do Art. 3º do Decreto nº 40.381/2020 do Distrito Federal</t>
  </si>
  <si>
    <t xml:space="preserve"> - Conforme Cláusula décima quinta da CCT DF000037/2023, Cláusula décima quarta da CCT DF000035/2023 e Cláusula décima da CCT DF000220/2023.</t>
  </si>
  <si>
    <t xml:space="preserve"> - Percentual AVI = ((1 / 12) x 5,55%) = 0,46%. Onde: 5,55% = percentual de empregados demitidos que não trabalham durante o aviso prévio, conforme referência do Acórdão TCU nº 1.904/2007.</t>
  </si>
  <si>
    <t xml:space="preserve"> - Percentual AVT = [(7/30)/12] = 1,944%. Conforme Acórdão TCU 3006/2010–Plenário.</t>
  </si>
  <si>
    <t xml:space="preserve"> - Foi adotado o percentual de 4%, considerando o total constante da recomendação da SEGES, decorrente da extinção da cobrança da contribuição social de 10% (dez por cento) devida pelos empregadores em caso de despedida sem justa causa.</t>
  </si>
  <si>
    <t xml:space="preserve"> - Conforme Art. 7º, inciso XVII da Constituição Federal de 1988. Percentual de provisão mensal conforme Anexo XII da IN 05/17: 1/11 = 9,09% ≅ 9,075%</t>
  </si>
  <si>
    <t xml:space="preserve"> - Conforme metodologia adotada pela SEGES são 5,96 dias/ano. Cálculo: (5,96/30) x (1/12) = 0,0166 = 1,66%</t>
  </si>
  <si>
    <t xml:space="preserve"> - De acordo com o Anuário Estatístico da Codeplan (2019), a taxa de fecundidade no Distrito Federal é de aproximadamente 1,5%. Dessa forma a provisão para este item corresponde a :((5/30)/12) x 0,015 = 0,02%. </t>
  </si>
  <si>
    <t xml:space="preserve"> - O cálculo do afastamento maternidade é: 50%*(4/12)*1,5%*(8,33%+11,11%)=0,05%. Onde: 50%= percentual de mulheres nos postos; 4=nº de meses da licença e 1,5% é a taxa de fecundidade no DF, conforme Anuário Estatístico da CODEPLAN</t>
  </si>
  <si>
    <t>Desvio Padrão</t>
  </si>
  <si>
    <t>Unidade de medida</t>
  </si>
  <si>
    <t>Média – Desv. Padrão</t>
  </si>
  <si>
    <t>Média + Desv. Padrão</t>
  </si>
  <si>
    <t>Média Exequíveis</t>
  </si>
  <si>
    <t>STM (UASG 060001) PE 65/2022</t>
  </si>
  <si>
    <t>Conjunto de uniforme (masculino/feminino), conforme especificações do Termo de Referência.</t>
  </si>
  <si>
    <t>Conjunto</t>
  </si>
  <si>
    <t>EBSERH (UASG 155007) PE 18/2022</t>
  </si>
  <si>
    <t>Contagem de exequíveis:</t>
  </si>
  <si>
    <t>Coeficiente de Variação (excetuando-se os inexequíveis e excessivamente elevados)</t>
  </si>
  <si>
    <t>Coeficiente de Variação (excetuando-se os inexequíveis e excessivamente elevados) :</t>
  </si>
  <si>
    <t>Mediana Exequíveis</t>
  </si>
  <si>
    <t>Critério a ser adotado</t>
  </si>
  <si>
    <t>Critério a ser adotado:</t>
  </si>
  <si>
    <t>Mediana Final (excetuando-se os inexequíveis e excessivamente elevados)</t>
  </si>
  <si>
    <t xml:space="preserve"> - Os Tributos adotados na precificação refletem ao maior cenário, tendo por base o Lucro Real, cuja alíquota para o PIS é 1,65%</t>
  </si>
  <si>
    <t xml:space="preserve"> - Os Tributos adotados na precificação refletem ao maior cenário, tendo por base o Lucro Real, cuja alíquota para o COFINS é 7,60%</t>
  </si>
  <si>
    <t xml:space="preserve"> - Lei Complementar 116/2003. ISS = 5%</t>
  </si>
  <si>
    <t>Desvio padrão (todos os resultados)</t>
  </si>
  <si>
    <t>Média (todos os resultados)</t>
  </si>
  <si>
    <t>Desvio padrão (excetuando-se os inexequíveis e excessivamente elevados) :</t>
  </si>
  <si>
    <t>Desvio padrão (excetuando-se os inexequíveis e excessivamente elevados)</t>
  </si>
  <si>
    <t>Custos indiretos</t>
  </si>
  <si>
    <t>%</t>
  </si>
  <si>
    <t>De acordo com o item VI do Anexo I da IN SEGES/MPDG nº 5/2017, custos indiretos são os custos envolvidos na execução contratual decorrentes dos gastos da contratada com sua estrutura administrativa, organizacional e gerenciamento de seus contratos.</t>
  </si>
  <si>
    <t>De acordo com o item XI do Anexo I da IN SEGES/MPDG nº 5/2017, o lucro é o ganho decorrente da exploração da atividade econômica.</t>
  </si>
  <si>
    <t>MINFRA (UASG 390004) PE 13/2018 - Assistente Administrativo</t>
  </si>
  <si>
    <t>TCU (UASG 030001) PE 20/2022 - Suporte Administrativo - Apoio I</t>
  </si>
  <si>
    <t>ENAP (UASG 114702) PE 18/2021 - Auxiliar Administrativo Nível I</t>
  </si>
  <si>
    <t>MDH (UASG 810005) PE 7/2019 - Apoio Administrativo</t>
  </si>
  <si>
    <t>SENADO (UASG 020001) PE 104/2021 - Apoio Administrativo II</t>
  </si>
  <si>
    <t>Câmara dos Deputados (UASG 010001) PE 130/2020 - Técnico de Apoio - Nível 1</t>
  </si>
  <si>
    <t>Câmara dos Deputados (UASG 010001) PE 130/2020 - Técnico de Apoio - Nível 2</t>
  </si>
  <si>
    <t>Carregador</t>
  </si>
  <si>
    <t>Almoxarife e Carregador</t>
  </si>
  <si>
    <t>DEPEN (UASG 200326) PE 70/2022</t>
  </si>
  <si>
    <t>ANATEL (UASG 413001) PE 13/2022</t>
  </si>
  <si>
    <t>FUB (UASG 154040) PE 29/2022</t>
  </si>
  <si>
    <t>MEC (UASG 150002) PE 11/2022</t>
  </si>
  <si>
    <t>Férias e Adicional de Férias</t>
  </si>
  <si>
    <t xml:space="preserve"> - CLT (arts. 8º, §2º, 59-A, §1º e 73, §§ 1º ao 5º) OBS: no cálculo já está computado o adicional de 20% e a hora noturna reduzida. Previsão de 5 horas noturnas por mês.</t>
  </si>
  <si>
    <t>Total 30 meses</t>
  </si>
  <si>
    <t>Valor Anual (12 meses)</t>
  </si>
  <si>
    <t>Valor Global da Proposta (30 meses)</t>
  </si>
  <si>
    <t>CNPQ</t>
  </si>
  <si>
    <t>Auxiliar Administrativo</t>
  </si>
  <si>
    <t>04/2021</t>
  </si>
  <si>
    <t>Auxiliar Administrativo Nível II</t>
  </si>
  <si>
    <t>17/2022</t>
  </si>
  <si>
    <t>Inmetro</t>
  </si>
  <si>
    <t>16/2022</t>
  </si>
  <si>
    <t>Assistente Administrativo (adicional de insalubridade)</t>
  </si>
  <si>
    <t xml:space="preserve"> - Salário mínimo de R$ 1.320,00, conforme MP nº 1.172/2023, e adicional de insalubridade de grau médio (20%), conforme manifestação do órgão participante.</t>
  </si>
  <si>
    <t xml:space="preserve"> - Salário Base * 30% (conforme Art. 193, § 1º, da CLT).</t>
  </si>
  <si>
    <t>Adicional de Insalubridade</t>
  </si>
  <si>
    <t>Adicional de Periculosidade</t>
  </si>
  <si>
    <t>Copeiragem</t>
  </si>
  <si>
    <t>Copeiragem (adicional de insalubridade)</t>
  </si>
  <si>
    <t>Copeiragem (adicional de periculosidade)</t>
  </si>
  <si>
    <t>Carregador (adicional de periculosidade)</t>
  </si>
  <si>
    <t>DISCRIMINAÇÃO DO SERVIÇO (DADOS REFERÊNTES À CONTRATAÇÃO)</t>
  </si>
  <si>
    <t>Data de apresentação da proposta (dia/mês/ano):</t>
  </si>
  <si>
    <t>Município/UF:</t>
  </si>
  <si>
    <t>Ano do Acordo, Convenção ou Dissídio Coletivo:</t>
  </si>
  <si>
    <t>Número de meses da execução contratual:</t>
  </si>
  <si>
    <t>IDENTIFICAÇÃO DO SERVIÇO</t>
  </si>
  <si>
    <t>Tipo de serviço:</t>
  </si>
  <si>
    <t>Unidade de medida:</t>
  </si>
  <si>
    <t>Quantidade total a contratar (em função da unidade de medida)</t>
  </si>
  <si>
    <t>Tipo de serviço (mesmo serviço com características distintas)</t>
  </si>
  <si>
    <t>Classificação Brasileira de Ocupações (CBO)</t>
  </si>
  <si>
    <t>Salário normativo da categoria profissional</t>
  </si>
  <si>
    <t>Categoria profissional (vinculada à execução patrimonial)</t>
  </si>
  <si>
    <t>DADOS PARA COMPOSIÇÃO DOS CUSTOS REFERENTES À MÃO DE OBRA</t>
  </si>
  <si>
    <t>XX/XX/2023</t>
  </si>
  <si>
    <t>XX/XX/2024</t>
  </si>
  <si>
    <t>Brasília/DF</t>
  </si>
  <si>
    <t>XX/XX/2021</t>
  </si>
  <si>
    <t>Posto</t>
  </si>
  <si>
    <t>SINDSERVIÇOS</t>
  </si>
  <si>
    <t>Data-base da categoria (dia/mês/ano)</t>
  </si>
  <si>
    <t>5134-25</t>
  </si>
  <si>
    <t>7832-10</t>
  </si>
  <si>
    <t>7832-11</t>
  </si>
  <si>
    <t>4110-10</t>
  </si>
  <si>
    <t>7832-12</t>
  </si>
  <si>
    <t>MPM (UASG 200008) PE 50/2023</t>
  </si>
  <si>
    <t>SERVIÇO NACIONAL DE APRENDIZAGEM COMERCIAL (UASG 926781) PE 7/2023</t>
  </si>
  <si>
    <t>ANA (UASG 443001) PE 14/2022</t>
  </si>
  <si>
    <t>MAPA (UASG 130005) PE 6/2023</t>
  </si>
  <si>
    <t>DETRAN (UASG 926142) PE 11/2023</t>
  </si>
  <si>
    <t>EBC (UASG 115406) PE 14/2023</t>
  </si>
  <si>
    <t>Resumo Copeiragem</t>
  </si>
  <si>
    <t>VII</t>
  </si>
  <si>
    <t>Carregador (adicional de insalubridade)</t>
  </si>
  <si>
    <t>Item</t>
  </si>
  <si>
    <t>Descrição</t>
  </si>
  <si>
    <t>Unidade</t>
  </si>
  <si>
    <t>Anexo II D - Portaria 449/2021</t>
  </si>
  <si>
    <t>Valor de referência</t>
  </si>
  <si>
    <t>Cálculo dos Limites Superiores e Inferiores</t>
  </si>
  <si>
    <t>Valor unit.</t>
  </si>
  <si>
    <t>Desvio padrão</t>
  </si>
  <si>
    <t>Média de preços</t>
  </si>
  <si>
    <t>Limite Superior (média + desvio)</t>
  </si>
  <si>
    <t>Limite Inferior (média - desvio)</t>
  </si>
  <si>
    <t>Par</t>
  </si>
  <si>
    <t>Água sanitária</t>
  </si>
  <si>
    <t>Álcool em gel</t>
  </si>
  <si>
    <t>Desentupidor de pia</t>
  </si>
  <si>
    <t>Escova manual de nylon</t>
  </si>
  <si>
    <t>Esponja de aço</t>
  </si>
  <si>
    <t>Pano de chão</t>
  </si>
  <si>
    <t>Sabão em barra</t>
  </si>
  <si>
    <t>Vassoura piaçava</t>
  </si>
  <si>
    <t>Uniformes/EPI</t>
  </si>
  <si>
    <t>Açucareiro pequeno de inox</t>
  </si>
  <si>
    <t>Balde plástico</t>
  </si>
  <si>
    <t>Bandeja redonda de inox</t>
  </si>
  <si>
    <t>Caneca de alumínio 3,2 litros</t>
  </si>
  <si>
    <t>Coado de café - tamanho G</t>
  </si>
  <si>
    <t>Colher pequena de inox para café</t>
  </si>
  <si>
    <t>Copo de vidro transparente incolor 310ml</t>
  </si>
  <si>
    <t>Desinfetante líquido concentrado</t>
  </si>
  <si>
    <t>Esponja dupla face para lavar louça</t>
  </si>
  <si>
    <t>Flanela</t>
  </si>
  <si>
    <t>Forro de plástico para bandeja redonda</t>
  </si>
  <si>
    <t>Funil grande de plástico 16 cm</t>
  </si>
  <si>
    <t>Garrafa térmica grande de inox (1,8 litros)</t>
  </si>
  <si>
    <t>Jarra de inox com tampa 2 litros</t>
  </si>
  <si>
    <t>Luva de borracha latex</t>
  </si>
  <si>
    <t>Mergulhão</t>
  </si>
  <si>
    <t>Pano de prato de algodão</t>
  </si>
  <si>
    <t>Papel toalha</t>
  </si>
  <si>
    <t>Porta copos de inox</t>
  </si>
  <si>
    <t>Porta detergente</t>
  </si>
  <si>
    <t>Rodinho para pia</t>
  </si>
  <si>
    <t>Rodo de chão médio</t>
  </si>
  <si>
    <t>Saco de lixo preto - 100 litros</t>
  </si>
  <si>
    <t>Saco de lixo preto - 60 litros</t>
  </si>
  <si>
    <t>Xícara de café com pires</t>
  </si>
  <si>
    <t>Xícara de chá com pires</t>
  </si>
  <si>
    <t>Escova para limpeza interna de garrafas, medindo pelo menos 35 cm</t>
  </si>
  <si>
    <t>Jogo c/ 12 unidades</t>
  </si>
  <si>
    <t>Pesquisa em sítio eletrônico</t>
  </si>
  <si>
    <t>Valor x Frequência</t>
  </si>
  <si>
    <t>Valor anual por posto</t>
  </si>
  <si>
    <t>Valor mensal por posto</t>
  </si>
  <si>
    <t>Açúcar tipo cristal, origem vegetal, sacarose de cana-de-açúcar, valor calórico não superior a 20kcal</t>
  </si>
  <si>
    <t>Adoçante líquido, embalado em frasco de 100 ml, tipo zero cal ou similar</t>
  </si>
  <si>
    <t>Encarregado Geral</t>
  </si>
  <si>
    <t>Auxiliar de Encarregado</t>
  </si>
  <si>
    <t>4110-05</t>
  </si>
  <si>
    <t>5134-05</t>
  </si>
  <si>
    <t>Garçom</t>
  </si>
  <si>
    <t>Máquina de café, industrial, novas de primeiro uso, retangular, conjugada com três torneiras, com 02(dois) reservatórios de no mínimo 10 Litros cada, em aço inox 304, tensão 220 volts, capacidade até 20 litros, reservatório de água até 45 litros, com controle termostático de temperatura, potência máxima 4000w</t>
  </si>
  <si>
    <t>AGU (UASG 110161) PE 20/2023</t>
  </si>
  <si>
    <t>ANTAQ (UASG 682010) PE 09/2023</t>
  </si>
  <si>
    <t>CNPQ (UASG 364102) PE 15/2023</t>
  </si>
  <si>
    <t>FNDE (UASG 153173) PE 4/2023</t>
  </si>
  <si>
    <t>IBAMA (UASG 193099) PE 20/2023</t>
  </si>
  <si>
    <t>ICMBio (UASG 443033) PE 24/2023</t>
  </si>
  <si>
    <t>Auxiliar de Encarregado/Encarregado</t>
  </si>
  <si>
    <t>MCTI (UASG 240101) PE 7/2023</t>
  </si>
  <si>
    <t>PRESIDÊNCIA (UASG 110001) PE 27/2023</t>
  </si>
  <si>
    <t>TJDFT (UASG 100001) PE 38/2023</t>
  </si>
  <si>
    <t>Café torrado e moído, com certificação de pureza, qualidade e sustentabilidade, e categoria gourmet ou superior, conforme classificação ABIC, pct de 500g, tipo Melita/Santa Clara ou similar</t>
  </si>
  <si>
    <t>UNIDADE</t>
  </si>
  <si>
    <t>LITRO</t>
  </si>
  <si>
    <t>Copo descartável Biodegradável200ml</t>
  </si>
  <si>
    <t>Copo descartável Biodegradável 50ml</t>
  </si>
  <si>
    <t>Detergente líquido neutro</t>
  </si>
  <si>
    <t>Limpador desengordurante perfumado</t>
  </si>
  <si>
    <t>Limpador multiuso</t>
  </si>
  <si>
    <t>Sabão em pó</t>
  </si>
  <si>
    <t>Sapólio cremoso</t>
  </si>
  <si>
    <t>Caixa c/ 12 unidades</t>
  </si>
  <si>
    <t>Pacote c/ 100 unidades</t>
  </si>
  <si>
    <t>Litro</t>
  </si>
  <si>
    <t>500ml</t>
  </si>
  <si>
    <t>Pacote c/ 8 unidades</t>
  </si>
  <si>
    <t>Pacote c/ 4 unidades</t>
  </si>
  <si>
    <t>Fardo c/ 1000 folhas</t>
  </si>
  <si>
    <t>Pacote c/ 1kg</t>
  </si>
  <si>
    <t>Pacote 800g</t>
  </si>
  <si>
    <t>Pacote c/ 10 unidades</t>
  </si>
  <si>
    <t>250ml</t>
  </si>
  <si>
    <t>KG</t>
  </si>
  <si>
    <t>PACOTE</t>
  </si>
  <si>
    <t>Bebedouro de Galão com as seguintes características: Ecocompressor: com gás R134a que não agride o meio ambiente; Easy Clean (desmontável para higienização); Serpentina externa (fácil higienização); Grande vazão: copo cheio em poucos segundos; Torneira Up &amp; Down Gabinete com proteção UV; Ambientes internos e externos; Pés antiderrapantes; Água natural e gelada; Bandeja removível: para esvaziar ou higienizar; Design coluna; Nanotecnologia: inibe a proliferação de micro-organismos; Tensão Nominal (V) 220V; Frequência - Mercado Nacional (Hz) 60 Acomoda Garrafão (L) 10 e 20; Volume Interno do Aparelho (L) 2; Capacidade de Fornecimento de Água Gelada (L/h)* 1,28; Temperatura de Resfriamento* 10°C / 50°F; Vazão Mínima por Gravidade (L/h) 96 L/h; Refrigeração - Compressor Termostato Regulável Externo. Cor cromado.</t>
  </si>
  <si>
    <t>Carrinho transporte plataforma fechado em tela com tampa lateral e rodas com pneu suportável para 500 kg modelo de referência mult-car C615</t>
  </si>
  <si>
    <t>FRASCO</t>
  </si>
  <si>
    <t>QUADRO DEMONSTRATIVO DO GRUPO VII</t>
  </si>
  <si>
    <t>QUADRO DEMONSTRATIVO DO GRUPO VI</t>
  </si>
  <si>
    <t>QUADRO DEMONSTRATIVO DO GRUPO V</t>
  </si>
  <si>
    <t>QUADRO DEMONSTRATIVO DO GRUPO IV</t>
  </si>
  <si>
    <t>QUADRO DEMONSTRATIVO DO GRUPO III</t>
  </si>
  <si>
    <t>QUADRO DEMONSTRATIVO DO GRUPO II</t>
  </si>
  <si>
    <t>QUADRO DEMONSTRATIVO DO GRUPO I</t>
  </si>
  <si>
    <t>QUADRO DEMONSTRATIVO DO VALOR GLOBAL</t>
  </si>
  <si>
    <t>GRUPO</t>
  </si>
  <si>
    <t>ESPECIFICAÇÃO</t>
  </si>
  <si>
    <t>QUANTIDADE DE POSTOS</t>
  </si>
  <si>
    <t>VALOR POR POSTO</t>
  </si>
  <si>
    <t>VALOR MENSAL ACEITÁVEL</t>
  </si>
  <si>
    <t>VALOR GLOBAL MÁXIMO ACEITÁVEL (12 MESES)</t>
  </si>
  <si>
    <t>Serviços de Copeiragem na nova sede da Polícia Federal em Brasília/DF</t>
  </si>
  <si>
    <t>Serviços de Carregadores na nova sede da Polícia Federal em Brasília/DF</t>
  </si>
  <si>
    <t>Serviços de Copeiragem na Coordenação do Comando de Operações Táticas em Brasília/DF</t>
  </si>
  <si>
    <t>Serviços de Copeiragem na Divisão de Gestão de Frotas em Brasília/DF</t>
  </si>
  <si>
    <t>Serviços de Copeiragem na Diretoria de Inteligência Policial no Setor Policial Sul em Brasília/DF</t>
  </si>
  <si>
    <t>Serviços de Copeiragem no Instituto Nacional de Identificação em Brasília/DF</t>
  </si>
  <si>
    <t>Serviços de Copeiragem no Serviço Especial de Canil Central</t>
  </si>
  <si>
    <t>Serviços de Copeiragem na Divisão de Perícias Médicas e Odontológicas em Brasília/DF</t>
  </si>
  <si>
    <t>Serviços de Copeiragem na Coordenação do Comando de Aviação Operacional em Brasília/DF</t>
  </si>
  <si>
    <t>Serviços de Copeiragem na Superintendência de Polícia Federal no Distrito Federal</t>
  </si>
  <si>
    <t>Serviços de Carregadores na Superintendência de Polícia Federal no Distrito Federal</t>
  </si>
  <si>
    <t>Serviços de Copeiragem na Diretoria de Tecnologia de Informação</t>
  </si>
  <si>
    <t>Serviços de Copeiragem na Diretoria Técnica-Científica</t>
  </si>
  <si>
    <t>Serviços de Carregador na Diretoria Técnica-Científica</t>
  </si>
  <si>
    <t>Serviços de Assistente Administrativo na Diretoria Técnica-Científica</t>
  </si>
  <si>
    <t>Serviços de Copeiragem na Academia Nacional de Polícia</t>
  </si>
  <si>
    <t>Serviços de Carregadores na Academia Nacional de Polícia</t>
  </si>
  <si>
    <t>Serviços de Copeiragem no Ministério da Justiça e Segurança Pública (UASG 200005) - Órgão Parcipante</t>
  </si>
  <si>
    <t>Serviços de Copeiragem na ANPD (UASG 302122) - Órgão Participante</t>
  </si>
  <si>
    <t>Serviços de Garçom/Garçonete na ANPD (UASG 302122) - Órgão Participante</t>
  </si>
  <si>
    <t>Serviços de Carregador na ANPD (UASG 302122) - Órgão Participante</t>
  </si>
  <si>
    <t>Serviços de Carregadores no Ministério da Justiça e Segurança Pública (UASG 200005) - Órgão Participante</t>
  </si>
  <si>
    <t>Serviços de Garçom/Garçonete no Ministério da Justiça e Segurança Pública (UASG 200005) - Órgão Participante</t>
  </si>
  <si>
    <t>Serviços de Encarregado Geral no Ministério da Justiça e Segurança Pública (UASG 200005) - Órgão Participante</t>
  </si>
  <si>
    <t>Serviços de Auxiliar de Encarregado no Ministério da Justiça e Segurança Pública (UASG 200005) - Órgão Participante</t>
  </si>
  <si>
    <t>Serviços de Copeiragem na SENAPPEN (UASG 200326)- Órgão Participante</t>
  </si>
  <si>
    <t>Serviços de Garçom/Garçonete na SENAPPEN (UASG 200326) - Órgão Participante</t>
  </si>
  <si>
    <t>VALOR TOTAL</t>
  </si>
  <si>
    <t>ITEM</t>
  </si>
  <si>
    <t xml:space="preserve"> - Foram utilizados os Manual de Preenchimento do Modelo de Planilhas de Custos e Formação de Preços do STJ e Nota Técnica do 1/2007 do STF para utilização das médias dos percentuais de lucro;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</si>
</sst>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8" formatCode="&quot;R$&quot;\ #,##0.00;[Red]\-&quot;R$&quot;\ #,##0.00"/>
    <numFmt numFmtId="44" formatCode="_-&quot;R$&quot;\ * #,##0.00_-;\-&quot;R$&quot;\ * #,##0.00_-;_-&quot;R$&quot;\ * &quot;-&quot;??_-;_-@_-"/>
    <numFmt numFmtId="43" formatCode="_-* #,##0.00_-;\-* #,##0.00_-;_-* &quot;-&quot;??_-;_-@_-"/>
    <numFmt numFmtId="164" formatCode="[$R$-416]\ #,##0.00;[Red]\-[$R$-416]\ #,##0.00"/>
    <numFmt numFmtId="165" formatCode="_-&quot;R$&quot;* #,##0.00_-;&quot;-R$&quot;* #,##0.00_-;_-&quot;R$&quot;* \-??_-;_-@_-"/>
    <numFmt numFmtId="166" formatCode="0.0%"/>
    <numFmt numFmtId="167" formatCode="0.00000"/>
    <numFmt numFmtId="168" formatCode="&quot;R$&quot;\ #,##0.00"/>
  </numFmts>
  <fonts count="15" x14ac:knownFonts="1">
    <font>
      <sz val="11"/>
      <color rgb="FF000000"/>
      <name val="Calibri"/>
      <family val="2"/>
      <charset val="1"/>
    </font>
    <font>
      <sz val="11"/>
      <color theme="1"/>
      <name val="Calibri"/>
      <family val="2"/>
      <scheme val="minor"/>
    </font>
    <font>
      <sz val="11"/>
      <color theme="1"/>
      <name val="Calibri"/>
      <family val="2"/>
      <scheme val="minor"/>
    </font>
    <font>
      <sz val="11"/>
      <color theme="1"/>
      <name val="Calibri"/>
      <family val="2"/>
      <scheme val="minor"/>
    </font>
    <font>
      <sz val="11"/>
      <name val="Calibri"/>
      <family val="2"/>
      <charset val="1"/>
    </font>
    <font>
      <b/>
      <sz val="11"/>
      <color rgb="FF000000"/>
      <name val="Calibri"/>
      <family val="2"/>
      <charset val="1"/>
    </font>
    <font>
      <sz val="11"/>
      <color rgb="FF000000"/>
      <name val="Calibri"/>
      <family val="2"/>
      <charset val="1"/>
    </font>
    <font>
      <b/>
      <sz val="11"/>
      <color rgb="FF000000"/>
      <name val="Calibri"/>
      <family val="2"/>
    </font>
    <font>
      <sz val="8"/>
      <name val="Calibri"/>
      <family val="2"/>
      <charset val="1"/>
    </font>
    <font>
      <b/>
      <sz val="11"/>
      <color theme="1"/>
      <name val="Calibri"/>
      <family val="2"/>
      <scheme val="minor"/>
    </font>
    <font>
      <sz val="11"/>
      <name val="Calibri"/>
      <family val="2"/>
      <scheme val="minor"/>
    </font>
    <font>
      <sz val="10"/>
      <name val="Arial"/>
      <family val="2"/>
    </font>
    <font>
      <sz val="11"/>
      <color theme="1"/>
      <name val="Arial"/>
      <family val="2"/>
    </font>
    <font>
      <sz val="10"/>
      <color rgb="FF000000"/>
      <name val="Arial"/>
      <family val="2"/>
    </font>
    <font>
      <b/>
      <sz val="11"/>
      <name val="Calibri"/>
      <family val="2"/>
      <scheme val="minor"/>
    </font>
  </fonts>
  <fills count="10">
    <fill>
      <patternFill patternType="none"/>
    </fill>
    <fill>
      <patternFill patternType="gray125"/>
    </fill>
    <fill>
      <patternFill patternType="solid">
        <fgColor rgb="FFEDEDED"/>
        <bgColor rgb="FFD9D9D9"/>
      </patternFill>
    </fill>
    <fill>
      <patternFill patternType="solid">
        <fgColor theme="0" tint="-4.9989318521683403E-2"/>
        <bgColor indexed="64"/>
      </patternFill>
    </fill>
    <fill>
      <patternFill patternType="solid">
        <fgColor theme="0" tint="-0.249977111117893"/>
        <bgColor indexed="64"/>
      </patternFill>
    </fill>
    <fill>
      <patternFill patternType="solid">
        <fgColor theme="2"/>
        <bgColor indexed="64"/>
      </patternFill>
    </fill>
    <fill>
      <patternFill patternType="solid">
        <fgColor theme="6" tint="0.59999389629810485"/>
        <bgColor indexed="64"/>
      </patternFill>
    </fill>
    <fill>
      <patternFill patternType="solid">
        <fgColor theme="2" tint="-9.9978637043366805E-2"/>
        <bgColor indexed="64"/>
      </patternFill>
    </fill>
    <fill>
      <patternFill patternType="solid">
        <fgColor theme="6" tint="0.79998168889431442"/>
        <bgColor indexed="64"/>
      </patternFill>
    </fill>
    <fill>
      <patternFill patternType="solid">
        <fgColor theme="0" tint="-0.14999847407452621"/>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top style="thin">
        <color auto="1"/>
      </top>
      <bottom style="thin">
        <color auto="1"/>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s>
  <cellStyleXfs count="20">
    <xf numFmtId="0" fontId="0" fillId="0" borderId="0"/>
    <xf numFmtId="165" fontId="6" fillId="0" borderId="0" applyBorder="0" applyProtection="0"/>
    <xf numFmtId="9" fontId="6" fillId="0" borderId="0" applyBorder="0" applyProtection="0"/>
    <xf numFmtId="0" fontId="6" fillId="2" borderId="0" applyBorder="0" applyProtection="0"/>
    <xf numFmtId="0" fontId="3" fillId="0" borderId="0"/>
    <xf numFmtId="43" fontId="3" fillId="0" borderId="0" applyFont="0" applyFill="0" applyBorder="0" applyAlignment="0" applyProtection="0"/>
    <xf numFmtId="44" fontId="3" fillId="0" borderId="0" applyFont="0" applyFill="0" applyBorder="0" applyAlignment="0" applyProtection="0"/>
    <xf numFmtId="9" fontId="3" fillId="0" borderId="0" applyFont="0" applyFill="0" applyBorder="0" applyAlignment="0" applyProtection="0"/>
    <xf numFmtId="0" fontId="3" fillId="0" borderId="0"/>
    <xf numFmtId="0" fontId="11" fillId="0" borderId="0"/>
    <xf numFmtId="44" fontId="11" fillId="0" borderId="0" applyFont="0" applyFill="0" applyBorder="0" applyAlignment="0" applyProtection="0"/>
    <xf numFmtId="9" fontId="11" fillId="0" borderId="0" applyFont="0" applyFill="0" applyBorder="0" applyAlignment="0" applyProtection="0"/>
    <xf numFmtId="0" fontId="11" fillId="0" borderId="0"/>
    <xf numFmtId="0" fontId="11" fillId="0" borderId="0"/>
    <xf numFmtId="44" fontId="11" fillId="0" borderId="0" applyFont="0" applyFill="0" applyBorder="0" applyAlignment="0" applyProtection="0"/>
    <xf numFmtId="44" fontId="11" fillId="0" borderId="0" applyFont="0" applyFill="0" applyBorder="0" applyAlignment="0" applyProtection="0"/>
    <xf numFmtId="44" fontId="12" fillId="0" borderId="0" applyFont="0" applyFill="0" applyBorder="0" applyAlignment="0" applyProtection="0"/>
    <xf numFmtId="0" fontId="13" fillId="0" borderId="0" applyNumberFormat="0" applyFont="0" applyBorder="0" applyProtection="0"/>
    <xf numFmtId="9" fontId="11" fillId="0" borderId="0" applyFont="0" applyFill="0" applyBorder="0" applyAlignment="0" applyProtection="0"/>
    <xf numFmtId="0" fontId="1" fillId="0" borderId="0"/>
  </cellStyleXfs>
  <cellXfs count="145">
    <xf numFmtId="0" fontId="0" fillId="0" borderId="0" xfId="0"/>
    <xf numFmtId="0" fontId="5" fillId="2" borderId="1" xfId="3" applyFont="1" applyBorder="1" applyAlignment="1" applyProtection="1">
      <alignment horizontal="center" vertical="center" wrapText="1"/>
    </xf>
    <xf numFmtId="9" fontId="0" fillId="0" borderId="1" xfId="2" applyFont="1" applyBorder="1" applyProtection="1"/>
    <xf numFmtId="165" fontId="0" fillId="0" borderId="1" xfId="1" applyFont="1" applyBorder="1" applyProtection="1"/>
    <xf numFmtId="165" fontId="5" fillId="0" borderId="1" xfId="1" applyFont="1" applyBorder="1" applyProtection="1"/>
    <xf numFmtId="10" fontId="0" fillId="0" borderId="1" xfId="2" applyNumberFormat="1" applyFont="1" applyBorder="1" applyAlignment="1" applyProtection="1">
      <alignment horizontal="center"/>
    </xf>
    <xf numFmtId="166" fontId="0" fillId="0" borderId="1" xfId="2" applyNumberFormat="1" applyFont="1" applyBorder="1" applyAlignment="1" applyProtection="1">
      <alignment horizontal="center"/>
    </xf>
    <xf numFmtId="9" fontId="0" fillId="0" borderId="1" xfId="2" applyFont="1" applyBorder="1" applyAlignment="1" applyProtection="1">
      <alignment horizontal="center"/>
    </xf>
    <xf numFmtId="164" fontId="5" fillId="0" borderId="1" xfId="1" applyNumberFormat="1" applyFont="1" applyBorder="1" applyProtection="1"/>
    <xf numFmtId="0" fontId="0" fillId="0" borderId="1" xfId="0" applyBorder="1" applyAlignment="1">
      <alignment wrapText="1"/>
    </xf>
    <xf numFmtId="166" fontId="0" fillId="0" borderId="1" xfId="2" applyNumberFormat="1" applyFont="1" applyBorder="1" applyAlignment="1" applyProtection="1">
      <alignment horizontal="center" wrapText="1"/>
    </xf>
    <xf numFmtId="165" fontId="5" fillId="0" borderId="0" xfId="1" applyFont="1" applyBorder="1" applyProtection="1"/>
    <xf numFmtId="0" fontId="0" fillId="0" borderId="0" xfId="0" applyAlignment="1">
      <alignment wrapText="1"/>
    </xf>
    <xf numFmtId="0" fontId="0" fillId="0" borderId="0" xfId="0" applyAlignment="1">
      <alignment horizontal="center" wrapText="1"/>
    </xf>
    <xf numFmtId="0" fontId="0" fillId="0" borderId="0" xfId="0" applyAlignment="1">
      <alignment horizontal="center"/>
    </xf>
    <xf numFmtId="164" fontId="0" fillId="0" borderId="0" xfId="0" applyNumberFormat="1" applyAlignment="1">
      <alignment horizontal="center" vertical="center" wrapText="1"/>
    </xf>
    <xf numFmtId="164" fontId="0" fillId="0" borderId="0" xfId="0" applyNumberFormat="1" applyAlignment="1">
      <alignment horizontal="center" vertical="center"/>
    </xf>
    <xf numFmtId="0" fontId="0" fillId="0" borderId="1" xfId="0" applyBorder="1" applyAlignment="1">
      <alignment horizontal="center" vertical="center" wrapText="1"/>
    </xf>
    <xf numFmtId="164" fontId="0" fillId="0" borderId="1" xfId="0" applyNumberFormat="1" applyBorder="1" applyAlignment="1">
      <alignment wrapText="1"/>
    </xf>
    <xf numFmtId="164" fontId="5" fillId="0" borderId="1" xfId="0" applyNumberFormat="1" applyFont="1" applyBorder="1" applyAlignment="1">
      <alignment wrapText="1"/>
    </xf>
    <xf numFmtId="0" fontId="0" fillId="0" borderId="1" xfId="0" applyBorder="1" applyAlignment="1">
      <alignment horizontal="center" wrapText="1"/>
    </xf>
    <xf numFmtId="0" fontId="0" fillId="0" borderId="1" xfId="0" applyBorder="1" applyAlignment="1">
      <alignment vertical="center" wrapText="1"/>
    </xf>
    <xf numFmtId="165" fontId="6" fillId="0" borderId="0" xfId="1"/>
    <xf numFmtId="165" fontId="6" fillId="0" borderId="1" xfId="1" applyBorder="1" applyAlignment="1">
      <alignment wrapText="1"/>
    </xf>
    <xf numFmtId="0" fontId="7" fillId="0" borderId="1" xfId="0" applyFont="1" applyBorder="1" applyAlignment="1">
      <alignment wrapText="1"/>
    </xf>
    <xf numFmtId="0" fontId="0" fillId="0" borderId="1" xfId="0" quotePrefix="1" applyBorder="1" applyAlignment="1">
      <alignment horizontal="center" wrapText="1"/>
    </xf>
    <xf numFmtId="17" fontId="0" fillId="0" borderId="1" xfId="0" quotePrefix="1" applyNumberFormat="1" applyBorder="1" applyAlignment="1">
      <alignment horizontal="center" wrapText="1"/>
    </xf>
    <xf numFmtId="0" fontId="0" fillId="0" borderId="1" xfId="0" applyBorder="1"/>
    <xf numFmtId="165" fontId="0" fillId="0" borderId="1" xfId="0" applyNumberFormat="1" applyBorder="1" applyAlignment="1">
      <alignment horizontal="center"/>
    </xf>
    <xf numFmtId="0" fontId="0" fillId="0" borderId="1" xfId="0" applyBorder="1" applyAlignment="1">
      <alignment horizontal="center"/>
    </xf>
    <xf numFmtId="10" fontId="0" fillId="0" borderId="1" xfId="0" applyNumberFormat="1" applyBorder="1" applyAlignment="1">
      <alignment horizontal="center"/>
    </xf>
    <xf numFmtId="164" fontId="0" fillId="0" borderId="1" xfId="2" applyNumberFormat="1" applyFont="1" applyBorder="1" applyAlignment="1" applyProtection="1">
      <alignment horizontal="center"/>
    </xf>
    <xf numFmtId="0" fontId="0" fillId="0" borderId="1" xfId="0" applyBorder="1" applyAlignment="1">
      <alignment horizontal="center" vertical="center"/>
    </xf>
    <xf numFmtId="0" fontId="0" fillId="0" borderId="0" xfId="0" applyAlignment="1">
      <alignment horizontal="right"/>
    </xf>
    <xf numFmtId="9" fontId="6" fillId="0" borderId="1" xfId="2" applyBorder="1" applyAlignment="1" applyProtection="1">
      <alignment horizontal="center"/>
    </xf>
    <xf numFmtId="165" fontId="5" fillId="0" borderId="1" xfId="0" applyNumberFormat="1" applyFont="1" applyBorder="1" applyAlignment="1">
      <alignment horizontal="center"/>
    </xf>
    <xf numFmtId="0" fontId="0" fillId="0" borderId="1" xfId="0" applyBorder="1" applyAlignment="1">
      <alignment horizontal="left"/>
    </xf>
    <xf numFmtId="166" fontId="0" fillId="0" borderId="1" xfId="0" applyNumberFormat="1" applyBorder="1" applyAlignment="1">
      <alignment horizontal="center"/>
    </xf>
    <xf numFmtId="9" fontId="6" fillId="0" borderId="0" xfId="2" applyProtection="1"/>
    <xf numFmtId="0" fontId="4" fillId="0" borderId="1" xfId="0" applyFont="1" applyBorder="1" applyAlignment="1">
      <alignment wrapText="1"/>
    </xf>
    <xf numFmtId="164" fontId="0" fillId="0" borderId="1" xfId="0" applyNumberFormat="1" applyBorder="1" applyAlignment="1">
      <alignment horizontal="center" vertical="center" wrapText="1"/>
    </xf>
    <xf numFmtId="164" fontId="0" fillId="0" borderId="1" xfId="0" applyNumberFormat="1" applyBorder="1" applyAlignment="1">
      <alignment horizontal="center" wrapText="1"/>
    </xf>
    <xf numFmtId="164" fontId="5" fillId="0" borderId="1" xfId="0" applyNumberFormat="1" applyFont="1" applyBorder="1" applyAlignment="1">
      <alignment horizontal="center" wrapText="1"/>
    </xf>
    <xf numFmtId="9" fontId="6" fillId="0" borderId="0" xfId="2" applyAlignment="1">
      <alignment horizontal="center"/>
    </xf>
    <xf numFmtId="9" fontId="6" fillId="0" borderId="1" xfId="2" applyBorder="1" applyAlignment="1">
      <alignment horizontal="center"/>
    </xf>
    <xf numFmtId="165" fontId="6" fillId="0" borderId="1" xfId="1" applyBorder="1" applyAlignment="1">
      <alignment horizontal="center"/>
    </xf>
    <xf numFmtId="165" fontId="7" fillId="0" borderId="1" xfId="1" applyFont="1" applyBorder="1" applyAlignment="1">
      <alignment horizontal="center"/>
    </xf>
    <xf numFmtId="0" fontId="6" fillId="0" borderId="1" xfId="1" applyNumberFormat="1" applyBorder="1" applyAlignment="1">
      <alignment horizontal="center"/>
    </xf>
    <xf numFmtId="2" fontId="6" fillId="0" borderId="1" xfId="1" applyNumberFormat="1" applyBorder="1" applyAlignment="1">
      <alignment horizontal="center"/>
    </xf>
    <xf numFmtId="2" fontId="0" fillId="0" borderId="0" xfId="0" applyNumberFormat="1" applyAlignment="1">
      <alignment horizontal="center" wrapText="1"/>
    </xf>
    <xf numFmtId="2" fontId="6" fillId="0" borderId="0" xfId="2" applyNumberFormat="1" applyAlignment="1">
      <alignment horizontal="center"/>
    </xf>
    <xf numFmtId="10" fontId="6" fillId="0" borderId="0" xfId="2" applyNumberFormat="1" applyAlignment="1">
      <alignment horizontal="center" vertical="center"/>
    </xf>
    <xf numFmtId="167" fontId="6" fillId="0" borderId="1" xfId="2" applyNumberFormat="1" applyBorder="1" applyAlignment="1">
      <alignment horizontal="center" vertical="center"/>
    </xf>
    <xf numFmtId="167" fontId="0" fillId="0" borderId="0" xfId="0" applyNumberFormat="1" applyAlignment="1">
      <alignment horizontal="center" wrapText="1"/>
    </xf>
    <xf numFmtId="167" fontId="6" fillId="0" borderId="0" xfId="2" applyNumberFormat="1" applyAlignment="1">
      <alignment horizontal="center"/>
    </xf>
    <xf numFmtId="44" fontId="0" fillId="0" borderId="0" xfId="0" applyNumberFormat="1"/>
    <xf numFmtId="0" fontId="0" fillId="0" borderId="4" xfId="0" applyBorder="1" applyAlignment="1">
      <alignment wrapText="1"/>
    </xf>
    <xf numFmtId="0" fontId="0" fillId="0" borderId="4" xfId="0" applyBorder="1" applyAlignment="1">
      <alignment horizontal="center" wrapText="1"/>
    </xf>
    <xf numFmtId="0" fontId="0" fillId="0" borderId="4" xfId="0" applyBorder="1" applyAlignment="1">
      <alignment vertical="center" wrapText="1"/>
    </xf>
    <xf numFmtId="165" fontId="6" fillId="0" borderId="4" xfId="1" applyBorder="1" applyAlignment="1">
      <alignment wrapText="1"/>
    </xf>
    <xf numFmtId="0" fontId="0" fillId="0" borderId="4" xfId="0" quotePrefix="1" applyBorder="1" applyAlignment="1">
      <alignment horizontal="center" wrapText="1"/>
    </xf>
    <xf numFmtId="9" fontId="0" fillId="0" borderId="0" xfId="2" applyFont="1" applyBorder="1" applyProtection="1"/>
    <xf numFmtId="165" fontId="0" fillId="0" borderId="0" xfId="1" applyFont="1" applyBorder="1" applyProtection="1"/>
    <xf numFmtId="0" fontId="10" fillId="0" borderId="0" xfId="0" applyFont="1"/>
    <xf numFmtId="0" fontId="14" fillId="7" borderId="1" xfId="0" applyFont="1" applyFill="1" applyBorder="1" applyAlignment="1">
      <alignment horizontal="center" vertical="center"/>
    </xf>
    <xf numFmtId="0" fontId="14" fillId="8" borderId="1" xfId="0" applyFont="1" applyFill="1" applyBorder="1" applyAlignment="1">
      <alignment horizontal="center" vertical="center"/>
    </xf>
    <xf numFmtId="0" fontId="14" fillId="7" borderId="1" xfId="0" applyFont="1" applyFill="1" applyBorder="1" applyAlignment="1">
      <alignment horizontal="center" vertical="center" wrapText="1"/>
    </xf>
    <xf numFmtId="0" fontId="14" fillId="3" borderId="1" xfId="0" applyFont="1" applyFill="1" applyBorder="1" applyAlignment="1">
      <alignment horizontal="center" vertical="center"/>
    </xf>
    <xf numFmtId="0" fontId="14" fillId="3" borderId="1" xfId="0" applyFont="1" applyFill="1" applyBorder="1" applyAlignment="1">
      <alignment horizontal="center" vertical="center" wrapText="1"/>
    </xf>
    <xf numFmtId="0" fontId="10" fillId="0" borderId="8" xfId="0" applyFont="1" applyBorder="1" applyAlignment="1">
      <alignment horizontal="center" vertical="center" wrapText="1"/>
    </xf>
    <xf numFmtId="8" fontId="10" fillId="7" borderId="1" xfId="0" applyNumberFormat="1" applyFont="1" applyFill="1" applyBorder="1" applyAlignment="1">
      <alignment horizontal="center" vertical="center"/>
    </xf>
    <xf numFmtId="8" fontId="10" fillId="8" borderId="1" xfId="0" applyNumberFormat="1" applyFont="1" applyFill="1" applyBorder="1" applyAlignment="1">
      <alignment horizontal="center" vertical="center"/>
    </xf>
    <xf numFmtId="8" fontId="3" fillId="0" borderId="3" xfId="0" applyNumberFormat="1" applyFont="1" applyBorder="1" applyAlignment="1">
      <alignment horizontal="center" vertical="center"/>
    </xf>
    <xf numFmtId="8" fontId="10" fillId="0" borderId="7" xfId="0" applyNumberFormat="1" applyFont="1" applyBorder="1" applyAlignment="1">
      <alignment horizontal="center" vertical="center"/>
    </xf>
    <xf numFmtId="168" fontId="10" fillId="0" borderId="2" xfId="0" applyNumberFormat="1" applyFont="1" applyBorder="1" applyAlignment="1">
      <alignment horizontal="center" vertical="center"/>
    </xf>
    <xf numFmtId="0" fontId="14" fillId="0" borderId="1" xfId="0" applyFont="1" applyBorder="1" applyAlignment="1">
      <alignment horizontal="center" vertical="center"/>
    </xf>
    <xf numFmtId="0" fontId="10" fillId="0" borderId="2" xfId="0" applyFont="1" applyBorder="1" applyAlignment="1">
      <alignment horizontal="center" vertical="center" wrapText="1"/>
    </xf>
    <xf numFmtId="168" fontId="10" fillId="0" borderId="1" xfId="0" applyNumberFormat="1" applyFont="1" applyBorder="1" applyAlignment="1">
      <alignment horizontal="center" vertical="center"/>
    </xf>
    <xf numFmtId="8" fontId="3" fillId="6" borderId="14" xfId="0" applyNumberFormat="1" applyFont="1" applyFill="1" applyBorder="1" applyAlignment="1">
      <alignment horizontal="center" vertical="center"/>
    </xf>
    <xf numFmtId="0" fontId="3" fillId="0" borderId="1" xfId="0" applyFont="1" applyBorder="1" applyAlignment="1">
      <alignment horizontal="center" vertical="center" wrapText="1"/>
    </xf>
    <xf numFmtId="0" fontId="10" fillId="0" borderId="0" xfId="0" applyFont="1" applyAlignment="1">
      <alignment horizontal="center" vertical="center" wrapText="1"/>
    </xf>
    <xf numFmtId="0" fontId="0" fillId="0" borderId="0" xfId="0" applyAlignment="1">
      <alignment horizontal="center" vertical="center" wrapText="1"/>
    </xf>
    <xf numFmtId="0" fontId="2" fillId="0" borderId="1" xfId="0" applyFont="1" applyBorder="1" applyAlignment="1">
      <alignment horizontal="center" vertical="center" wrapText="1"/>
    </xf>
    <xf numFmtId="8" fontId="0" fillId="0" borderId="1" xfId="0" applyNumberFormat="1" applyBorder="1" applyAlignment="1">
      <alignment horizontal="center"/>
    </xf>
    <xf numFmtId="8" fontId="0" fillId="0" borderId="1" xfId="0" applyNumberFormat="1" applyBorder="1"/>
    <xf numFmtId="9" fontId="4" fillId="0" borderId="1" xfId="0" applyNumberFormat="1" applyFont="1" applyBorder="1" applyAlignment="1">
      <alignment wrapText="1"/>
    </xf>
    <xf numFmtId="0" fontId="1" fillId="0" borderId="1" xfId="0" applyFont="1" applyBorder="1" applyAlignment="1">
      <alignment horizontal="center" vertical="center" wrapText="1"/>
    </xf>
    <xf numFmtId="0" fontId="5" fillId="2" borderId="2" xfId="3" applyFont="1" applyBorder="1" applyAlignment="1" applyProtection="1">
      <alignment vertical="center"/>
    </xf>
    <xf numFmtId="0" fontId="5" fillId="2" borderId="5" xfId="3" applyFont="1" applyBorder="1" applyAlignment="1" applyProtection="1">
      <alignment vertical="center"/>
    </xf>
    <xf numFmtId="0" fontId="5" fillId="2" borderId="3" xfId="3" applyFont="1" applyBorder="1" applyAlignment="1" applyProtection="1">
      <alignment vertical="center"/>
    </xf>
    <xf numFmtId="0" fontId="5" fillId="2" borderId="1" xfId="3" applyFont="1" applyBorder="1" applyAlignment="1" applyProtection="1">
      <alignment vertical="center"/>
    </xf>
    <xf numFmtId="8" fontId="0" fillId="0" borderId="1" xfId="0" applyNumberFormat="1" applyBorder="1" applyAlignment="1">
      <alignment horizontal="center" vertical="center" wrapText="1"/>
    </xf>
    <xf numFmtId="8" fontId="0" fillId="0" borderId="1" xfId="0" applyNumberFormat="1" applyBorder="1" applyAlignment="1">
      <alignment horizontal="center" vertical="center"/>
    </xf>
    <xf numFmtId="168" fontId="0" fillId="0" borderId="1" xfId="0" applyNumberFormat="1" applyBorder="1" applyAlignment="1">
      <alignment horizontal="center" vertical="center"/>
    </xf>
    <xf numFmtId="0" fontId="7" fillId="9" borderId="1" xfId="0" applyFont="1" applyFill="1" applyBorder="1" applyAlignment="1">
      <alignment horizontal="center" vertical="center"/>
    </xf>
    <xf numFmtId="0" fontId="7" fillId="9" borderId="1" xfId="0" applyFont="1" applyFill="1" applyBorder="1" applyAlignment="1">
      <alignment horizontal="center" vertical="center" wrapText="1"/>
    </xf>
    <xf numFmtId="0" fontId="5" fillId="2" borderId="1" xfId="3" applyFont="1" applyBorder="1" applyAlignment="1" applyProtection="1">
      <alignment horizontal="center" vertical="center" wrapText="1"/>
    </xf>
    <xf numFmtId="0" fontId="0" fillId="0" borderId="2" xfId="0" applyBorder="1" applyAlignment="1">
      <alignment horizontal="center"/>
    </xf>
    <xf numFmtId="0" fontId="0" fillId="0" borderId="5" xfId="0" applyBorder="1" applyAlignment="1">
      <alignment horizontal="center"/>
    </xf>
    <xf numFmtId="0" fontId="0" fillId="0" borderId="3" xfId="0" applyBorder="1" applyAlignment="1">
      <alignment horizontal="center"/>
    </xf>
    <xf numFmtId="0" fontId="14" fillId="4" borderId="9" xfId="0" applyFont="1" applyFill="1" applyBorder="1" applyAlignment="1">
      <alignment horizontal="center"/>
    </xf>
    <xf numFmtId="0" fontId="14" fillId="4" borderId="10" xfId="0" applyFont="1" applyFill="1" applyBorder="1" applyAlignment="1">
      <alignment horizontal="center"/>
    </xf>
    <xf numFmtId="0" fontId="9" fillId="6" borderId="13" xfId="0" applyFont="1" applyFill="1" applyBorder="1" applyAlignment="1">
      <alignment horizontal="center" vertical="center" wrapText="1"/>
    </xf>
    <xf numFmtId="0" fontId="9" fillId="6" borderId="14" xfId="0" applyFont="1" applyFill="1" applyBorder="1" applyAlignment="1">
      <alignment horizontal="center" vertical="center" wrapText="1"/>
    </xf>
    <xf numFmtId="0" fontId="14" fillId="5" borderId="11" xfId="0" applyFont="1" applyFill="1" applyBorder="1" applyAlignment="1">
      <alignment horizontal="center" vertical="center"/>
    </xf>
    <xf numFmtId="0" fontId="14" fillId="5" borderId="1" xfId="0" applyFont="1" applyFill="1" applyBorder="1" applyAlignment="1">
      <alignment horizontal="center" vertical="center"/>
    </xf>
    <xf numFmtId="0" fontId="14" fillId="5" borderId="11" xfId="0" applyFont="1" applyFill="1" applyBorder="1" applyAlignment="1">
      <alignment horizontal="center" vertical="center" wrapText="1"/>
    </xf>
    <xf numFmtId="0" fontId="14" fillId="5" borderId="1" xfId="0" applyFont="1" applyFill="1" applyBorder="1" applyAlignment="1">
      <alignment horizontal="center" vertical="center" wrapText="1"/>
    </xf>
    <xf numFmtId="0" fontId="14" fillId="3" borderId="1" xfId="0" applyFont="1" applyFill="1" applyBorder="1" applyAlignment="1">
      <alignment horizontal="center" vertical="center"/>
    </xf>
    <xf numFmtId="0" fontId="14" fillId="7" borderId="2" xfId="0" applyFont="1" applyFill="1" applyBorder="1" applyAlignment="1">
      <alignment horizontal="center" vertical="center" wrapText="1"/>
    </xf>
    <xf numFmtId="0" fontId="14" fillId="7" borderId="5" xfId="0" applyFont="1" applyFill="1" applyBorder="1" applyAlignment="1">
      <alignment horizontal="center" vertical="center" wrapText="1"/>
    </xf>
    <xf numFmtId="0" fontId="14" fillId="5" borderId="12" xfId="0" applyFont="1" applyFill="1" applyBorder="1" applyAlignment="1">
      <alignment horizontal="center" vertical="center" wrapText="1"/>
    </xf>
    <xf numFmtId="0" fontId="14" fillId="5" borderId="6" xfId="0" applyFont="1" applyFill="1" applyBorder="1" applyAlignment="1">
      <alignment horizontal="center" vertical="center" wrapText="1"/>
    </xf>
    <xf numFmtId="0" fontId="5" fillId="2" borderId="2" xfId="3" applyFont="1" applyBorder="1" applyAlignment="1" applyProtection="1">
      <alignment horizontal="center" vertical="center"/>
    </xf>
    <xf numFmtId="0" fontId="5" fillId="2" borderId="5" xfId="3" applyFont="1" applyBorder="1" applyAlignment="1" applyProtection="1">
      <alignment horizontal="center" vertical="center"/>
    </xf>
    <xf numFmtId="0" fontId="5" fillId="2" borderId="3" xfId="3" applyFont="1" applyBorder="1" applyAlignment="1" applyProtection="1">
      <alignment horizontal="center" vertical="center"/>
    </xf>
    <xf numFmtId="0" fontId="0" fillId="0" borderId="1" xfId="0" applyBorder="1" applyAlignment="1">
      <alignment horizontal="right"/>
    </xf>
    <xf numFmtId="0" fontId="5" fillId="2" borderId="1" xfId="3" applyFont="1" applyBorder="1" applyAlignment="1" applyProtection="1">
      <alignment horizontal="center" vertical="center"/>
    </xf>
    <xf numFmtId="0" fontId="0" fillId="0" borderId="2" xfId="2" applyNumberFormat="1" applyFont="1" applyBorder="1" applyAlignment="1" applyProtection="1">
      <alignment horizontal="center"/>
    </xf>
    <xf numFmtId="0" fontId="0" fillId="0" borderId="3" xfId="2" applyNumberFormat="1" applyFont="1" applyBorder="1" applyAlignment="1" applyProtection="1">
      <alignment horizontal="center"/>
    </xf>
    <xf numFmtId="168" fontId="0" fillId="0" borderId="2" xfId="2" applyNumberFormat="1" applyFont="1" applyBorder="1" applyAlignment="1" applyProtection="1">
      <alignment horizontal="center"/>
    </xf>
    <xf numFmtId="168" fontId="0" fillId="0" borderId="3" xfId="2" applyNumberFormat="1" applyFont="1" applyBorder="1" applyAlignment="1" applyProtection="1">
      <alignment horizontal="center"/>
    </xf>
    <xf numFmtId="14" fontId="0" fillId="0" borderId="2" xfId="2" applyNumberFormat="1" applyFont="1" applyBorder="1" applyAlignment="1" applyProtection="1">
      <alignment horizontal="center"/>
    </xf>
    <xf numFmtId="0" fontId="0" fillId="0" borderId="1" xfId="0" applyBorder="1" applyAlignment="1">
      <alignment horizontal="center" vertical="center"/>
    </xf>
    <xf numFmtId="0" fontId="0" fillId="0" borderId="1" xfId="0" applyBorder="1" applyAlignment="1">
      <alignment horizontal="left" vertical="center"/>
    </xf>
    <xf numFmtId="0" fontId="5" fillId="0" borderId="1" xfId="0" applyFont="1" applyBorder="1" applyAlignment="1">
      <alignment horizontal="center" vertical="center"/>
    </xf>
    <xf numFmtId="165" fontId="0" fillId="0" borderId="1" xfId="0" applyNumberFormat="1" applyBorder="1" applyAlignment="1">
      <alignment horizontal="center"/>
    </xf>
    <xf numFmtId="0" fontId="0" fillId="0" borderId="1" xfId="0" applyBorder="1" applyAlignment="1">
      <alignment horizontal="center"/>
    </xf>
    <xf numFmtId="165" fontId="0" fillId="0" borderId="2" xfId="0" applyNumberFormat="1" applyBorder="1" applyAlignment="1">
      <alignment horizontal="center"/>
    </xf>
    <xf numFmtId="165" fontId="0" fillId="0" borderId="3" xfId="0" applyNumberFormat="1" applyBorder="1" applyAlignment="1">
      <alignment horizontal="center"/>
    </xf>
    <xf numFmtId="165" fontId="0" fillId="0" borderId="1" xfId="0" applyNumberFormat="1" applyBorder="1" applyAlignment="1">
      <alignment horizontal="center" vertical="center"/>
    </xf>
    <xf numFmtId="0" fontId="5" fillId="0" borderId="1" xfId="0" applyFont="1" applyBorder="1" applyAlignment="1">
      <alignment horizontal="center"/>
    </xf>
    <xf numFmtId="165" fontId="5" fillId="0" borderId="1" xfId="0" applyNumberFormat="1" applyFont="1" applyBorder="1" applyAlignment="1">
      <alignment horizontal="center"/>
    </xf>
    <xf numFmtId="168" fontId="0" fillId="0" borderId="2" xfId="1" applyNumberFormat="1" applyFont="1" applyBorder="1" applyAlignment="1" applyProtection="1">
      <alignment horizontal="center"/>
    </xf>
    <xf numFmtId="168" fontId="0" fillId="0" borderId="3" xfId="1" applyNumberFormat="1" applyFont="1" applyBorder="1" applyAlignment="1" applyProtection="1">
      <alignment horizontal="center"/>
    </xf>
    <xf numFmtId="9" fontId="0" fillId="0" borderId="2" xfId="2" applyFont="1" applyBorder="1" applyAlignment="1" applyProtection="1">
      <alignment horizontal="center"/>
    </xf>
    <xf numFmtId="9" fontId="0" fillId="0" borderId="3" xfId="2" applyFont="1" applyBorder="1" applyAlignment="1" applyProtection="1">
      <alignment horizontal="center"/>
    </xf>
    <xf numFmtId="168" fontId="6" fillId="0" borderId="2" xfId="1" applyNumberFormat="1" applyBorder="1" applyAlignment="1" applyProtection="1">
      <alignment horizontal="center" vertical="center"/>
    </xf>
    <xf numFmtId="168" fontId="6" fillId="0" borderId="3" xfId="1" applyNumberFormat="1" applyBorder="1" applyAlignment="1" applyProtection="1">
      <alignment horizontal="center" vertical="center"/>
    </xf>
    <xf numFmtId="165" fontId="0" fillId="0" borderId="2" xfId="1" applyFont="1" applyBorder="1" applyAlignment="1" applyProtection="1">
      <alignment horizontal="center"/>
    </xf>
    <xf numFmtId="165" fontId="0" fillId="0" borderId="3" xfId="1" applyFont="1" applyBorder="1" applyAlignment="1" applyProtection="1">
      <alignment horizontal="center"/>
    </xf>
    <xf numFmtId="0" fontId="0" fillId="0" borderId="2" xfId="0" applyBorder="1" applyAlignment="1">
      <alignment horizontal="center" vertical="center"/>
    </xf>
    <xf numFmtId="0" fontId="0" fillId="0" borderId="5" xfId="0" applyBorder="1" applyAlignment="1">
      <alignment horizontal="center" vertical="center"/>
    </xf>
    <xf numFmtId="0" fontId="0" fillId="0" borderId="3" xfId="0" applyBorder="1" applyAlignment="1">
      <alignment horizontal="center" vertical="center"/>
    </xf>
    <xf numFmtId="0" fontId="7" fillId="9" borderId="1" xfId="0" applyFont="1" applyFill="1" applyBorder="1" applyAlignment="1">
      <alignment horizontal="center"/>
    </xf>
  </cellXfs>
  <cellStyles count="20">
    <cellStyle name="Moeda" xfId="1" builtinId="4"/>
    <cellStyle name="Moeda 13" xfId="14" xr:uid="{11FEA2BE-2C92-4EBE-A893-D113ACE11C77}"/>
    <cellStyle name="Moeda 2" xfId="6" xr:uid="{4D015BDF-C570-43F2-A84E-E6698EE5D9F4}"/>
    <cellStyle name="Moeda 3 2 2" xfId="15" xr:uid="{DF1C1080-B4AC-42C4-AD13-99D7A8E8CC9B}"/>
    <cellStyle name="Moeda 4 2 3" xfId="16" xr:uid="{5C91EE22-20D3-448F-877A-5ABD312AB4A1}"/>
    <cellStyle name="Moeda 5 3" xfId="10" xr:uid="{9CFA6249-DD25-4972-A8D2-6D369D4DAB05}"/>
    <cellStyle name="Normal" xfId="0" builtinId="0"/>
    <cellStyle name="Normal 13" xfId="13" xr:uid="{B1994087-6C4D-447A-8169-40AF8B6E17E4}"/>
    <cellStyle name="Normal 2" xfId="8" xr:uid="{ED179AAA-85A2-4C40-AA2E-F4766FB62A89}"/>
    <cellStyle name="Normal 3" xfId="4" xr:uid="{4B620293-B01B-4244-BE0B-882639529693}"/>
    <cellStyle name="Normal 3 2 2 2" xfId="12" xr:uid="{DF5FF339-FF95-4B71-A652-1CF04B6524F4}"/>
    <cellStyle name="Normal 3 3 2" xfId="9" xr:uid="{8EAFAEA4-47E7-4B36-B15F-3846F538AB32}"/>
    <cellStyle name="Normal 3 3 2 2" xfId="17" xr:uid="{7CEE9823-BD96-46C9-A7E2-852391026ED3}"/>
    <cellStyle name="Normal 4" xfId="19" xr:uid="{6DA520DB-60C0-44DC-B0D6-15F0812324EC}"/>
    <cellStyle name="Porcentagem" xfId="2" builtinId="5"/>
    <cellStyle name="Porcentagem 2" xfId="7" xr:uid="{EA6B6D2B-E524-46BA-9DF1-735F917DDFB2}"/>
    <cellStyle name="Porcentagem 2 2" xfId="18" xr:uid="{3C7EE48C-C254-4E6A-B604-78C0527816A8}"/>
    <cellStyle name="Porcentagem 4" xfId="11" xr:uid="{A64525E9-4CC2-4388-B087-42F421A83119}"/>
    <cellStyle name="Texto Explicativo" xfId="3" builtinId="53" customBuiltin="1"/>
    <cellStyle name="Vírgula 2" xfId="5" xr:uid="{15F97FA5-8C7A-41BA-97F6-B9A1EC9ACAAE}"/>
  </cellStyles>
  <dxfs count="0"/>
  <tableStyles count="0" defaultTableStyle="TableStyleMedium2" defaultPivotStyle="PivotStyleLight16"/>
  <colors>
    <indexedColors>
      <rgbColor rgb="FF000000"/>
      <rgbColor rgb="FFEDEDED"/>
      <rgbColor rgb="FFED1C24"/>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685"/>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83816E-DC04-4C2A-A196-E55FFF834E23}">
  <sheetPr>
    <pageSetUpPr fitToPage="1"/>
  </sheetPr>
  <dimension ref="B3:L14"/>
  <sheetViews>
    <sheetView showGridLines="0" topLeftCell="E1" workbookViewId="0">
      <selection activeCell="I9" sqref="I9"/>
    </sheetView>
  </sheetViews>
  <sheetFormatPr defaultColWidth="9.1796875" defaultRowHeight="14.5" x14ac:dyDescent="0.35"/>
  <cols>
    <col min="1" max="1" width="9.1796875" style="12"/>
    <col min="2" max="3" width="20.7265625" style="12" customWidth="1"/>
    <col min="4" max="4" width="25.7265625" style="12" customWidth="1"/>
    <col min="5" max="6" width="20.7265625" style="12" customWidth="1"/>
    <col min="7" max="7" width="20.7265625" style="22" customWidth="1"/>
    <col min="8" max="9" width="20.7265625" style="12" customWidth="1"/>
    <col min="10" max="10" width="9" style="12" customWidth="1"/>
    <col min="11" max="11" width="38.7265625" style="12" customWidth="1"/>
    <col min="12" max="12" width="13.1796875" style="12" customWidth="1"/>
    <col min="13" max="16384" width="9.1796875" style="12"/>
  </cols>
  <sheetData>
    <row r="3" spans="2:12" ht="45" customHeight="1" x14ac:dyDescent="0.35">
      <c r="B3" s="1" t="s">
        <v>101</v>
      </c>
      <c r="C3" s="1" t="s">
        <v>108</v>
      </c>
      <c r="D3" s="1" t="s">
        <v>102</v>
      </c>
      <c r="E3" s="1" t="s">
        <v>103</v>
      </c>
      <c r="F3" s="1" t="s">
        <v>104</v>
      </c>
      <c r="G3" s="1" t="s">
        <v>105</v>
      </c>
      <c r="H3" s="1" t="s">
        <v>106</v>
      </c>
      <c r="I3" s="1" t="s">
        <v>107</v>
      </c>
      <c r="K3" s="9" t="s">
        <v>176</v>
      </c>
      <c r="L3" s="45">
        <f>_xlfn.STDEV.S(G4:G9)</f>
        <v>439.46028742841406</v>
      </c>
    </row>
    <row r="4" spans="2:12" ht="45" customHeight="1" x14ac:dyDescent="0.35">
      <c r="B4" s="9" t="s">
        <v>109</v>
      </c>
      <c r="C4" s="20">
        <v>390004</v>
      </c>
      <c r="D4" s="9" t="s">
        <v>110</v>
      </c>
      <c r="E4" s="9" t="s">
        <v>111</v>
      </c>
      <c r="F4" s="20" t="s">
        <v>112</v>
      </c>
      <c r="G4" s="23">
        <v>2621.56</v>
      </c>
      <c r="H4" s="25" t="s">
        <v>113</v>
      </c>
      <c r="I4" s="25" t="s">
        <v>114</v>
      </c>
      <c r="K4" s="9" t="s">
        <v>177</v>
      </c>
      <c r="L4" s="45">
        <f>AVERAGE(G4:G9)</f>
        <v>3007.9233333333336</v>
      </c>
    </row>
    <row r="5" spans="2:12" ht="45" customHeight="1" x14ac:dyDescent="0.35">
      <c r="B5" s="9" t="s">
        <v>115</v>
      </c>
      <c r="C5" s="20">
        <v>30001</v>
      </c>
      <c r="D5" s="9" t="s">
        <v>116</v>
      </c>
      <c r="E5" s="9" t="s">
        <v>111</v>
      </c>
      <c r="F5" s="20" t="s">
        <v>112</v>
      </c>
      <c r="G5" s="23">
        <v>3724.41</v>
      </c>
      <c r="H5" s="25" t="s">
        <v>117</v>
      </c>
      <c r="I5" s="25" t="s">
        <v>118</v>
      </c>
      <c r="K5" s="9" t="s">
        <v>130</v>
      </c>
      <c r="L5" s="45">
        <f>L4-L3</f>
        <v>2568.4630459049195</v>
      </c>
    </row>
    <row r="6" spans="2:12" ht="45" customHeight="1" x14ac:dyDescent="0.35">
      <c r="B6" s="9" t="s">
        <v>119</v>
      </c>
      <c r="C6" s="20">
        <v>114702</v>
      </c>
      <c r="D6" s="9" t="s">
        <v>120</v>
      </c>
      <c r="E6" s="9" t="s">
        <v>111</v>
      </c>
      <c r="F6" s="20" t="s">
        <v>123</v>
      </c>
      <c r="G6" s="23">
        <v>2930.96</v>
      </c>
      <c r="H6" s="25" t="s">
        <v>122</v>
      </c>
      <c r="I6" s="25" t="s">
        <v>121</v>
      </c>
      <c r="K6" s="9" t="s">
        <v>131</v>
      </c>
      <c r="L6" s="45">
        <f>L4+L3</f>
        <v>3447.3836207617478</v>
      </c>
    </row>
    <row r="7" spans="2:12" ht="45" customHeight="1" x14ac:dyDescent="0.35">
      <c r="B7" s="9" t="s">
        <v>207</v>
      </c>
      <c r="C7" s="17">
        <v>183023</v>
      </c>
      <c r="D7" s="9" t="s">
        <v>203</v>
      </c>
      <c r="E7" s="9" t="s">
        <v>111</v>
      </c>
      <c r="F7" s="20" t="s">
        <v>112</v>
      </c>
      <c r="G7" s="23">
        <v>2570.41</v>
      </c>
      <c r="H7" s="26" t="s">
        <v>204</v>
      </c>
      <c r="I7" s="25" t="s">
        <v>208</v>
      </c>
      <c r="K7" s="24" t="s">
        <v>132</v>
      </c>
      <c r="L7" s="46">
        <f>AVERAGEIFS(G4:G9,G4:G9,"&gt;="&amp;L5,G4:G9,"&lt;="&amp;L6)</f>
        <v>2864.6259999999997</v>
      </c>
    </row>
    <row r="8" spans="2:12" ht="45" customHeight="1" x14ac:dyDescent="0.35">
      <c r="B8" s="9" t="s">
        <v>202</v>
      </c>
      <c r="C8" s="20">
        <v>364102</v>
      </c>
      <c r="D8" s="9" t="s">
        <v>205</v>
      </c>
      <c r="E8" s="9" t="s">
        <v>111</v>
      </c>
      <c r="F8" s="20" t="s">
        <v>112</v>
      </c>
      <c r="G8" s="23">
        <v>2889.55</v>
      </c>
      <c r="H8" s="25" t="s">
        <v>135</v>
      </c>
      <c r="I8" s="25" t="s">
        <v>206</v>
      </c>
      <c r="K8" s="24" t="s">
        <v>172</v>
      </c>
      <c r="L8" s="46">
        <f>MEDIAN(G4,G6,G7,G8,G9)</f>
        <v>2889.55</v>
      </c>
    </row>
    <row r="9" spans="2:12" ht="45" customHeight="1" x14ac:dyDescent="0.35">
      <c r="B9" s="9" t="s">
        <v>124</v>
      </c>
      <c r="C9" s="20">
        <v>10001</v>
      </c>
      <c r="D9" s="9" t="s">
        <v>125</v>
      </c>
      <c r="E9" s="9" t="s">
        <v>111</v>
      </c>
      <c r="F9" s="20" t="s">
        <v>126</v>
      </c>
      <c r="G9" s="23">
        <v>3310.65</v>
      </c>
      <c r="H9" s="25" t="s">
        <v>127</v>
      </c>
      <c r="I9" s="25" t="s">
        <v>128</v>
      </c>
      <c r="K9" s="9" t="s">
        <v>133</v>
      </c>
      <c r="L9" s="47">
        <f>COUNTA(G4:G9)</f>
        <v>6</v>
      </c>
    </row>
    <row r="10" spans="2:12" ht="45" customHeight="1" x14ac:dyDescent="0.35">
      <c r="B10" s="56"/>
      <c r="C10" s="57"/>
      <c r="D10" s="58"/>
      <c r="E10" s="56"/>
      <c r="F10" s="57"/>
      <c r="G10" s="59"/>
      <c r="H10" s="60"/>
      <c r="I10" s="60"/>
      <c r="K10" s="9" t="s">
        <v>134</v>
      </c>
      <c r="L10" s="47">
        <f>COUNTIFS(G4:G9,"&gt;="&amp;L5,G4:G9,"&lt;="&amp;L6)</f>
        <v>5</v>
      </c>
    </row>
    <row r="11" spans="2:12" ht="45" customHeight="1" x14ac:dyDescent="0.35">
      <c r="K11" s="9" t="s">
        <v>179</v>
      </c>
      <c r="L11" s="48">
        <f>_xlfn.STDEV.S(G4,G6,G7,G8,G9)</f>
        <v>295.63615683809729</v>
      </c>
    </row>
    <row r="12" spans="2:12" ht="45" customHeight="1" x14ac:dyDescent="0.35">
      <c r="K12" s="9" t="s">
        <v>167</v>
      </c>
      <c r="L12" s="44">
        <f>L11/(AVERAGE(G4,G6,G7,G8,G9))</f>
        <v>0.10320235759854771</v>
      </c>
    </row>
    <row r="13" spans="2:12" ht="45" customHeight="1" x14ac:dyDescent="0.35">
      <c r="K13" s="9" t="s">
        <v>170</v>
      </c>
      <c r="L13" s="44" t="str">
        <f>IF(L12&gt;=25%,"Mediana","Média")</f>
        <v>Média</v>
      </c>
    </row>
    <row r="14" spans="2:12" ht="45" customHeight="1" x14ac:dyDescent="0.35"/>
  </sheetData>
  <pageMargins left="0.511811024" right="0.511811024" top="0.78740157499999996" bottom="0.78740157499999996" header="0.31496062000000002" footer="0.31496062000000002"/>
  <pageSetup paperSize="9" scale="3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3E8647-5D97-4181-9398-6480AB41A4CD}">
  <sheetPr>
    <pageSetUpPr fitToPage="1"/>
  </sheetPr>
  <dimension ref="A1:V136"/>
  <sheetViews>
    <sheetView showGridLines="0" topLeftCell="B107" zoomScaleNormal="100" workbookViewId="0">
      <selection activeCell="G110" sqref="G110"/>
    </sheetView>
  </sheetViews>
  <sheetFormatPr defaultRowHeight="14.5" x14ac:dyDescent="0.35"/>
  <cols>
    <col min="1" max="1" width="12.26953125" customWidth="1"/>
    <col min="2" max="2" width="54.81640625" customWidth="1"/>
    <col min="3" max="3" width="13.7265625" customWidth="1"/>
    <col min="4" max="4" width="17.7265625" customWidth="1"/>
    <col min="5" max="5" width="13.7265625" customWidth="1"/>
    <col min="6" max="6" width="17.7265625" customWidth="1"/>
    <col min="7" max="7" width="13.7265625" customWidth="1"/>
    <col min="8" max="8" width="17.7265625" customWidth="1"/>
    <col min="9" max="9" width="13.7265625" customWidth="1"/>
    <col min="10" max="10" width="17.7265625" customWidth="1"/>
    <col min="11" max="11" width="13.7265625" customWidth="1"/>
    <col min="12" max="12" width="17.7265625" customWidth="1"/>
    <col min="13" max="13" width="13.7265625" customWidth="1"/>
    <col min="14" max="20" width="17.7265625" customWidth="1"/>
    <col min="21" max="21" width="13.7265625" customWidth="1"/>
    <col min="22" max="22" width="17.7265625" customWidth="1"/>
    <col min="23" max="23" width="13.7265625" customWidth="1"/>
    <col min="24" max="24" width="17.7265625" customWidth="1"/>
    <col min="25" max="25" width="13.7265625" customWidth="1"/>
    <col min="26" max="26" width="17.7265625" customWidth="1"/>
    <col min="27" max="27" width="13.7265625" customWidth="1"/>
    <col min="28" max="28" width="17.7265625" customWidth="1"/>
    <col min="29" max="33" width="8.7265625" customWidth="1"/>
    <col min="35" max="1029" width="8.7265625" customWidth="1"/>
  </cols>
  <sheetData>
    <row r="1" spans="1:6" x14ac:dyDescent="0.35">
      <c r="A1" s="113" t="s">
        <v>218</v>
      </c>
      <c r="B1" s="114"/>
      <c r="C1" s="114"/>
      <c r="D1" s="114"/>
      <c r="E1" s="114"/>
      <c r="F1" s="115"/>
    </row>
    <row r="2" spans="1:6" x14ac:dyDescent="0.35">
      <c r="A2" s="29" t="s">
        <v>0</v>
      </c>
      <c r="B2" s="27" t="s">
        <v>219</v>
      </c>
      <c r="C2" s="118" t="s">
        <v>233</v>
      </c>
      <c r="D2" s="119" t="s">
        <v>232</v>
      </c>
      <c r="E2" s="118" t="s">
        <v>233</v>
      </c>
      <c r="F2" s="119" t="s">
        <v>235</v>
      </c>
    </row>
    <row r="3" spans="1:6" x14ac:dyDescent="0.35">
      <c r="A3" s="29" t="s">
        <v>1</v>
      </c>
      <c r="B3" s="27" t="s">
        <v>220</v>
      </c>
      <c r="C3" s="97" t="s">
        <v>234</v>
      </c>
      <c r="D3" s="99" t="s">
        <v>234</v>
      </c>
      <c r="E3" s="97" t="s">
        <v>234</v>
      </c>
      <c r="F3" s="99" t="s">
        <v>234</v>
      </c>
    </row>
    <row r="4" spans="1:6" x14ac:dyDescent="0.35">
      <c r="A4" s="29" t="s">
        <v>2</v>
      </c>
      <c r="B4" s="27" t="s">
        <v>221</v>
      </c>
      <c r="C4" s="118">
        <v>2024</v>
      </c>
      <c r="D4" s="119"/>
      <c r="E4" s="118">
        <v>2024</v>
      </c>
      <c r="F4" s="119"/>
    </row>
    <row r="5" spans="1:6" x14ac:dyDescent="0.35">
      <c r="A5" s="29" t="s">
        <v>3</v>
      </c>
      <c r="B5" s="27" t="s">
        <v>222</v>
      </c>
      <c r="C5" s="118">
        <v>12</v>
      </c>
      <c r="D5" s="119"/>
      <c r="E5" s="118">
        <v>12</v>
      </c>
      <c r="F5" s="119"/>
    </row>
    <row r="7" spans="1:6" ht="14.5" customHeight="1" x14ac:dyDescent="0.35">
      <c r="A7" s="113" t="s">
        <v>223</v>
      </c>
      <c r="B7" s="114"/>
      <c r="C7" s="114"/>
      <c r="D7" s="114"/>
      <c r="E7" s="114"/>
      <c r="F7" s="115"/>
    </row>
    <row r="8" spans="1:6" x14ac:dyDescent="0.35">
      <c r="A8" s="29">
        <v>1</v>
      </c>
      <c r="B8" s="36" t="s">
        <v>224</v>
      </c>
      <c r="C8" s="97" t="s">
        <v>214</v>
      </c>
      <c r="D8" s="99"/>
      <c r="E8" s="97" t="s">
        <v>312</v>
      </c>
      <c r="F8" s="99"/>
    </row>
    <row r="9" spans="1:6" x14ac:dyDescent="0.35">
      <c r="A9" s="29" t="s">
        <v>0</v>
      </c>
      <c r="B9" s="27" t="s">
        <v>225</v>
      </c>
      <c r="C9" s="118" t="s">
        <v>236</v>
      </c>
      <c r="D9" s="119"/>
      <c r="E9" s="118" t="s">
        <v>236</v>
      </c>
      <c r="F9" s="119"/>
    </row>
    <row r="10" spans="1:6" x14ac:dyDescent="0.35">
      <c r="A10" s="29" t="s">
        <v>1</v>
      </c>
      <c r="B10" s="27" t="s">
        <v>226</v>
      </c>
      <c r="C10" s="118">
        <v>1</v>
      </c>
      <c r="D10" s="119"/>
      <c r="E10" s="118">
        <v>1</v>
      </c>
      <c r="F10" s="119"/>
    </row>
    <row r="11" spans="1:6" x14ac:dyDescent="0.35">
      <c r="A11" s="14"/>
      <c r="C11" s="61"/>
      <c r="D11" s="62"/>
      <c r="E11" s="62"/>
      <c r="F11" s="62"/>
    </row>
    <row r="12" spans="1:6" ht="14.5" customHeight="1" x14ac:dyDescent="0.35">
      <c r="A12" s="113" t="s">
        <v>231</v>
      </c>
      <c r="B12" s="114"/>
      <c r="C12" s="114"/>
      <c r="D12" s="114"/>
      <c r="E12" s="114"/>
      <c r="F12" s="115"/>
    </row>
    <row r="13" spans="1:6" x14ac:dyDescent="0.35">
      <c r="A13" s="29">
        <v>1</v>
      </c>
      <c r="B13" s="27" t="s">
        <v>227</v>
      </c>
      <c r="C13" s="135" t="s">
        <v>214</v>
      </c>
      <c r="D13" s="136"/>
      <c r="E13" s="135" t="s">
        <v>312</v>
      </c>
      <c r="F13" s="136"/>
    </row>
    <row r="14" spans="1:6" x14ac:dyDescent="0.35">
      <c r="A14" s="29">
        <v>2</v>
      </c>
      <c r="B14" s="27" t="s">
        <v>228</v>
      </c>
      <c r="C14" s="118" t="s">
        <v>239</v>
      </c>
      <c r="D14" s="119"/>
      <c r="E14" s="118" t="s">
        <v>311</v>
      </c>
      <c r="F14" s="119"/>
    </row>
    <row r="15" spans="1:6" x14ac:dyDescent="0.35">
      <c r="A15" s="29">
        <v>3</v>
      </c>
      <c r="B15" s="27" t="s">
        <v>229</v>
      </c>
      <c r="C15" s="120">
        <v>1629.62</v>
      </c>
      <c r="D15" s="121"/>
      <c r="E15" s="120">
        <v>2405.96</v>
      </c>
      <c r="F15" s="136"/>
    </row>
    <row r="16" spans="1:6" x14ac:dyDescent="0.35">
      <c r="A16" s="29">
        <v>4</v>
      </c>
      <c r="B16" s="27" t="s">
        <v>230</v>
      </c>
      <c r="C16" s="118" t="s">
        <v>237</v>
      </c>
      <c r="D16" s="119"/>
      <c r="E16" s="118" t="s">
        <v>237</v>
      </c>
      <c r="F16" s="119"/>
    </row>
    <row r="17" spans="1:7" x14ac:dyDescent="0.35">
      <c r="A17" s="29">
        <v>5</v>
      </c>
      <c r="B17" s="27" t="s">
        <v>238</v>
      </c>
      <c r="C17" s="122">
        <v>45301</v>
      </c>
      <c r="D17" s="119"/>
      <c r="E17" s="122">
        <v>45301</v>
      </c>
      <c r="F17" s="119"/>
    </row>
    <row r="19" spans="1:7" ht="40" customHeight="1" x14ac:dyDescent="0.35">
      <c r="A19" s="117" t="s">
        <v>4</v>
      </c>
      <c r="B19" s="117"/>
      <c r="C19" s="96" t="s">
        <v>214</v>
      </c>
      <c r="D19" s="96"/>
      <c r="E19" s="96" t="s">
        <v>312</v>
      </c>
      <c r="F19" s="96"/>
    </row>
    <row r="20" spans="1:7" x14ac:dyDescent="0.35">
      <c r="A20" s="29">
        <v>1</v>
      </c>
      <c r="B20" s="29" t="s">
        <v>5</v>
      </c>
      <c r="C20" s="29"/>
      <c r="D20" s="29" t="s">
        <v>6</v>
      </c>
      <c r="E20" s="29"/>
      <c r="F20" s="29" t="s">
        <v>6</v>
      </c>
    </row>
    <row r="21" spans="1:7" x14ac:dyDescent="0.35">
      <c r="A21" s="29" t="s">
        <v>0</v>
      </c>
      <c r="B21" s="27" t="s">
        <v>7</v>
      </c>
      <c r="C21" s="2"/>
      <c r="D21" s="3">
        <f>C15</f>
        <v>1629.62</v>
      </c>
      <c r="E21" s="2"/>
      <c r="F21" s="3">
        <v>2405.96</v>
      </c>
      <c r="G21" t="s">
        <v>137</v>
      </c>
    </row>
    <row r="22" spans="1:7" x14ac:dyDescent="0.35">
      <c r="A22" s="29" t="s">
        <v>1</v>
      </c>
      <c r="B22" s="27" t="s">
        <v>96</v>
      </c>
      <c r="C22" s="2"/>
      <c r="D22" s="3"/>
      <c r="E22" s="2"/>
      <c r="F22" s="3"/>
      <c r="G22" t="s">
        <v>198</v>
      </c>
    </row>
    <row r="23" spans="1:7" x14ac:dyDescent="0.35">
      <c r="A23" s="29" t="s">
        <v>2</v>
      </c>
      <c r="B23" s="27" t="s">
        <v>212</v>
      </c>
      <c r="C23" s="2"/>
      <c r="D23" s="3"/>
      <c r="E23" s="2"/>
      <c r="F23" s="3"/>
      <c r="G23" t="s">
        <v>210</v>
      </c>
    </row>
    <row r="24" spans="1:7" x14ac:dyDescent="0.35">
      <c r="A24" s="29" t="s">
        <v>3</v>
      </c>
      <c r="B24" s="27" t="s">
        <v>213</v>
      </c>
      <c r="C24" s="2"/>
      <c r="D24" s="3"/>
      <c r="E24" s="2"/>
      <c r="F24" s="3"/>
      <c r="G24" t="s">
        <v>211</v>
      </c>
    </row>
    <row r="25" spans="1:7" x14ac:dyDescent="0.35">
      <c r="A25" s="116" t="s">
        <v>9</v>
      </c>
      <c r="B25" s="116"/>
      <c r="C25" s="27"/>
      <c r="D25" s="4">
        <f>SUM(D21:D24)</f>
        <v>1629.62</v>
      </c>
      <c r="E25" s="27"/>
      <c r="F25" s="4">
        <f>SUM(F21:F24)</f>
        <v>2405.96</v>
      </c>
    </row>
    <row r="27" spans="1:7" ht="15" customHeight="1" x14ac:dyDescent="0.35"/>
    <row r="28" spans="1:7" ht="40" customHeight="1" x14ac:dyDescent="0.35">
      <c r="A28" s="117" t="s">
        <v>10</v>
      </c>
      <c r="B28" s="117"/>
      <c r="C28" s="96" t="str">
        <f>$C$19</f>
        <v>Copeiragem</v>
      </c>
      <c r="D28" s="96"/>
      <c r="E28" s="96" t="str">
        <f>$E$19</f>
        <v>Garçom</v>
      </c>
      <c r="F28" s="96"/>
    </row>
    <row r="29" spans="1:7" x14ac:dyDescent="0.35">
      <c r="A29" s="29" t="s">
        <v>11</v>
      </c>
      <c r="B29" s="29" t="s">
        <v>12</v>
      </c>
      <c r="C29" s="29" t="s">
        <v>13</v>
      </c>
      <c r="D29" s="29" t="s">
        <v>6</v>
      </c>
      <c r="E29" s="29" t="s">
        <v>13</v>
      </c>
      <c r="F29" s="29" t="s">
        <v>6</v>
      </c>
      <c r="G29" t="s">
        <v>138</v>
      </c>
    </row>
    <row r="30" spans="1:7" x14ac:dyDescent="0.35">
      <c r="A30" s="29" t="s">
        <v>0</v>
      </c>
      <c r="B30" s="27" t="s">
        <v>14</v>
      </c>
      <c r="C30" s="5">
        <f>1/12</f>
        <v>8.3333333333333329E-2</v>
      </c>
      <c r="D30" s="3">
        <f>ROUND(C30*D25,2)</f>
        <v>135.80000000000001</v>
      </c>
      <c r="E30" s="5">
        <f>1/12</f>
        <v>8.3333333333333329E-2</v>
      </c>
      <c r="F30" s="3">
        <f>ROUND(E30*F25,2)</f>
        <v>200.5</v>
      </c>
      <c r="G30" t="s">
        <v>139</v>
      </c>
    </row>
    <row r="31" spans="1:7" x14ac:dyDescent="0.35">
      <c r="A31" s="29" t="s">
        <v>1</v>
      </c>
      <c r="B31" s="27" t="s">
        <v>197</v>
      </c>
      <c r="C31" s="5">
        <f>(1/12)+(1/3/12)</f>
        <v>0.1111111111111111</v>
      </c>
      <c r="D31" s="3">
        <f>ROUND(C31*D25,2)</f>
        <v>181.07</v>
      </c>
      <c r="E31" s="5">
        <f>(1/12)+(1/3/12)</f>
        <v>0.1111111111111111</v>
      </c>
      <c r="F31" s="3">
        <f>ROUND(E31*F25,2)</f>
        <v>267.33</v>
      </c>
    </row>
    <row r="32" spans="1:7" x14ac:dyDescent="0.35">
      <c r="A32" s="116" t="s">
        <v>9</v>
      </c>
      <c r="B32" s="116"/>
      <c r="C32" s="30">
        <f t="shared" ref="C32:D32" si="0">SUM(C30:C31)</f>
        <v>0.19444444444444442</v>
      </c>
      <c r="D32" s="4">
        <f t="shared" si="0"/>
        <v>316.87</v>
      </c>
      <c r="E32" s="30">
        <f t="shared" ref="E32:F32" si="1">SUM(E30:E31)</f>
        <v>0.19444444444444442</v>
      </c>
      <c r="F32" s="4">
        <f t="shared" si="1"/>
        <v>467.83</v>
      </c>
    </row>
    <row r="34" spans="1:7" ht="15" customHeight="1" x14ac:dyDescent="0.35"/>
    <row r="35" spans="1:7" ht="40" customHeight="1" x14ac:dyDescent="0.35">
      <c r="A35" s="96" t="s">
        <v>15</v>
      </c>
      <c r="B35" s="96"/>
      <c r="C35" s="96" t="str">
        <f>$C$19</f>
        <v>Copeiragem</v>
      </c>
      <c r="D35" s="96"/>
      <c r="E35" s="96" t="str">
        <f>$E$19</f>
        <v>Garçom</v>
      </c>
      <c r="F35" s="96"/>
    </row>
    <row r="36" spans="1:7" x14ac:dyDescent="0.35">
      <c r="A36" s="29" t="s">
        <v>16</v>
      </c>
      <c r="B36" s="29" t="s">
        <v>17</v>
      </c>
      <c r="C36" s="29" t="s">
        <v>13</v>
      </c>
      <c r="D36" s="29" t="s">
        <v>6</v>
      </c>
      <c r="E36" s="29" t="s">
        <v>13</v>
      </c>
      <c r="F36" s="29" t="s">
        <v>6</v>
      </c>
      <c r="G36" t="s">
        <v>140</v>
      </c>
    </row>
    <row r="37" spans="1:7" x14ac:dyDescent="0.35">
      <c r="A37" s="29" t="s">
        <v>0</v>
      </c>
      <c r="B37" s="27" t="s">
        <v>18</v>
      </c>
      <c r="C37" s="6">
        <v>0.2</v>
      </c>
      <c r="D37" s="3">
        <f t="shared" ref="D37:D44" si="2">(C37*($D$32+$D$25))</f>
        <v>389.298</v>
      </c>
      <c r="E37" s="6">
        <v>0.2</v>
      </c>
      <c r="F37" s="3">
        <f t="shared" ref="F37:F44" si="3">E37*($F$32+$F$25)</f>
        <v>574.75800000000004</v>
      </c>
      <c r="G37" t="s">
        <v>141</v>
      </c>
    </row>
    <row r="38" spans="1:7" x14ac:dyDescent="0.35">
      <c r="A38" s="29" t="s">
        <v>1</v>
      </c>
      <c r="B38" s="27" t="s">
        <v>19</v>
      </c>
      <c r="C38" s="6">
        <v>2.5000000000000001E-2</v>
      </c>
      <c r="D38" s="3">
        <f t="shared" si="2"/>
        <v>48.66225</v>
      </c>
      <c r="E38" s="6">
        <v>2.5000000000000001E-2</v>
      </c>
      <c r="F38" s="3">
        <f t="shared" si="3"/>
        <v>71.844750000000005</v>
      </c>
      <c r="G38" t="s">
        <v>142</v>
      </c>
    </row>
    <row r="39" spans="1:7" x14ac:dyDescent="0.35">
      <c r="A39" s="29" t="s">
        <v>2</v>
      </c>
      <c r="B39" s="27" t="s">
        <v>20</v>
      </c>
      <c r="C39" s="6">
        <v>0.03</v>
      </c>
      <c r="D39" s="3">
        <f t="shared" si="2"/>
        <v>58.394699999999993</v>
      </c>
      <c r="E39" s="6">
        <v>0.03</v>
      </c>
      <c r="F39" s="3">
        <f t="shared" si="3"/>
        <v>86.213699999999989</v>
      </c>
      <c r="G39" t="s">
        <v>143</v>
      </c>
    </row>
    <row r="40" spans="1:7" x14ac:dyDescent="0.35">
      <c r="A40" s="29" t="s">
        <v>3</v>
      </c>
      <c r="B40" s="27" t="s">
        <v>21</v>
      </c>
      <c r="C40" s="6">
        <v>1.4999999999999999E-2</v>
      </c>
      <c r="D40" s="3">
        <f t="shared" si="2"/>
        <v>29.197349999999997</v>
      </c>
      <c r="E40" s="6">
        <v>1.4999999999999999E-2</v>
      </c>
      <c r="F40" s="3">
        <f t="shared" si="3"/>
        <v>43.106849999999994</v>
      </c>
      <c r="G40" t="s">
        <v>144</v>
      </c>
    </row>
    <row r="41" spans="1:7" x14ac:dyDescent="0.35">
      <c r="A41" s="29" t="s">
        <v>22</v>
      </c>
      <c r="B41" s="27" t="s">
        <v>23</v>
      </c>
      <c r="C41" s="6">
        <v>0.01</v>
      </c>
      <c r="D41" s="3">
        <f t="shared" si="2"/>
        <v>19.464899999999997</v>
      </c>
      <c r="E41" s="6">
        <v>0.01</v>
      </c>
      <c r="F41" s="3">
        <f t="shared" si="3"/>
        <v>28.7379</v>
      </c>
      <c r="G41" t="s">
        <v>145</v>
      </c>
    </row>
    <row r="42" spans="1:7" x14ac:dyDescent="0.35">
      <c r="A42" s="29" t="s">
        <v>24</v>
      </c>
      <c r="B42" s="27" t="s">
        <v>25</v>
      </c>
      <c r="C42" s="6">
        <v>6.0000000000000001E-3</v>
      </c>
      <c r="D42" s="3">
        <f t="shared" si="2"/>
        <v>11.678939999999999</v>
      </c>
      <c r="E42" s="6">
        <v>6.0000000000000001E-3</v>
      </c>
      <c r="F42" s="3">
        <f t="shared" si="3"/>
        <v>17.242740000000001</v>
      </c>
      <c r="G42" t="s">
        <v>146</v>
      </c>
    </row>
    <row r="43" spans="1:7" x14ac:dyDescent="0.35">
      <c r="A43" s="29" t="s">
        <v>26</v>
      </c>
      <c r="B43" s="27" t="s">
        <v>27</v>
      </c>
      <c r="C43" s="6">
        <v>2E-3</v>
      </c>
      <c r="D43" s="3">
        <f t="shared" si="2"/>
        <v>3.8929799999999997</v>
      </c>
      <c r="E43" s="6">
        <v>2E-3</v>
      </c>
      <c r="F43" s="3">
        <f t="shared" si="3"/>
        <v>5.7475800000000001</v>
      </c>
      <c r="G43" t="s">
        <v>147</v>
      </c>
    </row>
    <row r="44" spans="1:7" x14ac:dyDescent="0.35">
      <c r="A44" s="29" t="s">
        <v>28</v>
      </c>
      <c r="B44" s="27" t="s">
        <v>29</v>
      </c>
      <c r="C44" s="6">
        <v>0.08</v>
      </c>
      <c r="D44" s="3">
        <f t="shared" si="2"/>
        <v>155.71919999999997</v>
      </c>
      <c r="E44" s="6">
        <v>0.08</v>
      </c>
      <c r="F44" s="3">
        <f t="shared" si="3"/>
        <v>229.9032</v>
      </c>
    </row>
    <row r="45" spans="1:7" x14ac:dyDescent="0.35">
      <c r="A45" s="116" t="s">
        <v>9</v>
      </c>
      <c r="B45" s="116"/>
      <c r="C45" s="6">
        <f>SUM(C37:C44)</f>
        <v>0.36800000000000005</v>
      </c>
      <c r="D45" s="4">
        <f>(ROUND(SUM(D37:D44),2))</f>
        <v>716.31</v>
      </c>
      <c r="E45" s="6">
        <f>SUM(E37:E44)</f>
        <v>0.36800000000000005</v>
      </c>
      <c r="F45" s="4">
        <f>(ROUND(SUM(F37:F44),2))</f>
        <v>1057.55</v>
      </c>
    </row>
    <row r="47" spans="1:7" ht="15" customHeight="1" x14ac:dyDescent="0.35"/>
    <row r="48" spans="1:7" ht="40" customHeight="1" x14ac:dyDescent="0.35">
      <c r="A48" s="96" t="s">
        <v>30</v>
      </c>
      <c r="B48" s="96"/>
      <c r="C48" s="96" t="str">
        <f>$C$19</f>
        <v>Copeiragem</v>
      </c>
      <c r="D48" s="96"/>
      <c r="E48" s="96" t="str">
        <f>$E$19</f>
        <v>Garçom</v>
      </c>
      <c r="F48" s="96"/>
    </row>
    <row r="49" spans="1:7" ht="29" x14ac:dyDescent="0.35">
      <c r="A49" s="29" t="s">
        <v>31</v>
      </c>
      <c r="B49" s="29" t="s">
        <v>32</v>
      </c>
      <c r="C49" s="20" t="s">
        <v>33</v>
      </c>
      <c r="D49" s="29" t="s">
        <v>6</v>
      </c>
      <c r="E49" s="20" t="s">
        <v>33</v>
      </c>
      <c r="F49" s="29" t="s">
        <v>6</v>
      </c>
      <c r="G49" t="s">
        <v>148</v>
      </c>
    </row>
    <row r="50" spans="1:7" x14ac:dyDescent="0.35">
      <c r="A50" s="29" t="s">
        <v>0</v>
      </c>
      <c r="B50" s="27" t="s">
        <v>34</v>
      </c>
      <c r="C50" s="31">
        <v>5.5</v>
      </c>
      <c r="D50" s="3">
        <f>ROUND(IF((C50*2*21)-(D21*6%)&gt;=0,(C50*2*21)-(D21*6%),0),2)</f>
        <v>133.22</v>
      </c>
      <c r="E50" s="31">
        <v>5.5</v>
      </c>
      <c r="F50" s="3">
        <f>ROUND(IF((E50*2*21)-(F21*6%)&gt;=0,(E50*2*21)-(F21*6%),0),2)</f>
        <v>86.64</v>
      </c>
    </row>
    <row r="51" spans="1:7" x14ac:dyDescent="0.35">
      <c r="A51" s="123" t="s">
        <v>1</v>
      </c>
      <c r="B51" s="124" t="s">
        <v>35</v>
      </c>
      <c r="C51" s="10" t="s">
        <v>36</v>
      </c>
      <c r="D51" s="3"/>
      <c r="E51" s="10" t="s">
        <v>36</v>
      </c>
      <c r="F51" s="3"/>
      <c r="G51" t="s">
        <v>149</v>
      </c>
    </row>
    <row r="52" spans="1:7" x14ac:dyDescent="0.35">
      <c r="A52" s="123"/>
      <c r="B52" s="124"/>
      <c r="C52" s="31">
        <v>42.2</v>
      </c>
      <c r="D52" s="3">
        <f>(C52*21)</f>
        <v>886.2</v>
      </c>
      <c r="E52" s="31">
        <v>42.2</v>
      </c>
      <c r="F52" s="3">
        <f>(E52*21)</f>
        <v>886.2</v>
      </c>
    </row>
    <row r="53" spans="1:7" x14ac:dyDescent="0.35">
      <c r="A53" s="29" t="s">
        <v>2</v>
      </c>
      <c r="B53" s="27" t="s">
        <v>8</v>
      </c>
      <c r="C53" s="6"/>
      <c r="D53" s="29"/>
      <c r="E53" s="6"/>
      <c r="F53" s="29"/>
    </row>
    <row r="54" spans="1:7" x14ac:dyDescent="0.35">
      <c r="A54" s="116" t="s">
        <v>9</v>
      </c>
      <c r="B54" s="116"/>
      <c r="C54" s="27"/>
      <c r="D54" s="4">
        <f>ROUND(SUM(D50:D53),2)</f>
        <v>1019.42</v>
      </c>
      <c r="E54" s="27"/>
      <c r="F54" s="4">
        <f>ROUND(SUM(F50:F53),2)</f>
        <v>972.84</v>
      </c>
    </row>
    <row r="56" spans="1:7" ht="15" customHeight="1" x14ac:dyDescent="0.35"/>
    <row r="57" spans="1:7" ht="40" customHeight="1" x14ac:dyDescent="0.35">
      <c r="A57" s="96" t="s">
        <v>37</v>
      </c>
      <c r="B57" s="96"/>
      <c r="C57" s="96" t="str">
        <f>$C$19</f>
        <v>Copeiragem</v>
      </c>
      <c r="D57" s="96"/>
      <c r="E57" s="96" t="str">
        <f>$E$19</f>
        <v>Garçom</v>
      </c>
      <c r="F57" s="96"/>
    </row>
    <row r="58" spans="1:7" x14ac:dyDescent="0.35">
      <c r="A58" s="29">
        <v>2</v>
      </c>
      <c r="B58" s="29" t="s">
        <v>32</v>
      </c>
      <c r="C58" s="29"/>
      <c r="D58" s="29" t="s">
        <v>6</v>
      </c>
      <c r="E58" s="29"/>
      <c r="F58" s="29" t="s">
        <v>6</v>
      </c>
    </row>
    <row r="59" spans="1:7" x14ac:dyDescent="0.35">
      <c r="A59" s="29" t="s">
        <v>11</v>
      </c>
      <c r="B59" s="27" t="s">
        <v>38</v>
      </c>
      <c r="C59" s="6"/>
      <c r="D59" s="3">
        <f>D32</f>
        <v>316.87</v>
      </c>
      <c r="E59" s="7"/>
      <c r="F59" s="3">
        <f>F32</f>
        <v>467.83</v>
      </c>
    </row>
    <row r="60" spans="1:7" x14ac:dyDescent="0.35">
      <c r="A60" s="29" t="s">
        <v>16</v>
      </c>
      <c r="B60" s="27" t="s">
        <v>17</v>
      </c>
      <c r="C60" s="6"/>
      <c r="D60" s="28">
        <f>D45</f>
        <v>716.31</v>
      </c>
      <c r="E60" s="7"/>
      <c r="F60" s="28">
        <f>F45</f>
        <v>1057.55</v>
      </c>
    </row>
    <row r="61" spans="1:7" x14ac:dyDescent="0.35">
      <c r="A61" s="29" t="s">
        <v>31</v>
      </c>
      <c r="B61" s="27" t="s">
        <v>32</v>
      </c>
      <c r="C61" s="6"/>
      <c r="D61" s="28">
        <f>D54</f>
        <v>1019.42</v>
      </c>
      <c r="E61" s="7"/>
      <c r="F61" s="28">
        <f>F54</f>
        <v>972.84</v>
      </c>
    </row>
    <row r="62" spans="1:7" x14ac:dyDescent="0.35">
      <c r="A62" s="116" t="s">
        <v>9</v>
      </c>
      <c r="B62" s="116"/>
      <c r="C62" s="27"/>
      <c r="D62" s="8">
        <f>SUM(D59:D61)</f>
        <v>2052.6</v>
      </c>
      <c r="E62" s="27"/>
      <c r="F62" s="4">
        <f>SUM(F59:F61)</f>
        <v>2498.2199999999998</v>
      </c>
    </row>
    <row r="64" spans="1:7" ht="15" customHeight="1" x14ac:dyDescent="0.35"/>
    <row r="65" spans="1:7" ht="40" customHeight="1" x14ac:dyDescent="0.35">
      <c r="A65" s="96" t="s">
        <v>39</v>
      </c>
      <c r="B65" s="96"/>
      <c r="C65" s="96" t="str">
        <f>$C$19</f>
        <v>Copeiragem</v>
      </c>
      <c r="D65" s="96"/>
      <c r="E65" s="96" t="str">
        <f>$E$19</f>
        <v>Garçom</v>
      </c>
      <c r="F65" s="96"/>
    </row>
    <row r="66" spans="1:7" x14ac:dyDescent="0.35">
      <c r="A66" s="29">
        <v>3</v>
      </c>
      <c r="B66" s="29" t="s">
        <v>40</v>
      </c>
      <c r="C66" s="29" t="s">
        <v>13</v>
      </c>
      <c r="D66" s="29" t="s">
        <v>6</v>
      </c>
      <c r="E66" s="29" t="s">
        <v>13</v>
      </c>
      <c r="F66" s="29" t="s">
        <v>6</v>
      </c>
      <c r="G66" t="s">
        <v>150</v>
      </c>
    </row>
    <row r="67" spans="1:7" x14ac:dyDescent="0.35">
      <c r="A67" s="29" t="s">
        <v>0</v>
      </c>
      <c r="B67" s="27" t="s">
        <v>41</v>
      </c>
      <c r="C67" s="5">
        <f>(1/12*5.55%)</f>
        <v>4.6249999999999998E-3</v>
      </c>
      <c r="D67" s="3">
        <f>ROUND(C67*D25,2)</f>
        <v>7.54</v>
      </c>
      <c r="E67" s="5">
        <f>(1/12*5.55%)</f>
        <v>4.6249999999999998E-3</v>
      </c>
      <c r="F67" s="3">
        <f>ROUND(E67*F25,2)</f>
        <v>11.13</v>
      </c>
    </row>
    <row r="68" spans="1:7" x14ac:dyDescent="0.35">
      <c r="A68" s="29" t="s">
        <v>1</v>
      </c>
      <c r="B68" s="27" t="s">
        <v>42</v>
      </c>
      <c r="C68" s="5">
        <v>0.08</v>
      </c>
      <c r="D68" s="3">
        <f>C68*D67</f>
        <v>0.60320000000000007</v>
      </c>
      <c r="E68" s="5">
        <v>0.08</v>
      </c>
      <c r="F68" s="3">
        <f>E68*F67</f>
        <v>0.89040000000000008</v>
      </c>
      <c r="G68" t="s">
        <v>151</v>
      </c>
    </row>
    <row r="69" spans="1:7" x14ac:dyDescent="0.35">
      <c r="A69" s="29" t="s">
        <v>2</v>
      </c>
      <c r="B69" s="27" t="s">
        <v>43</v>
      </c>
      <c r="C69" s="5">
        <f>(7/30)/12</f>
        <v>1.9444444444444445E-2</v>
      </c>
      <c r="D69" s="3">
        <f>C69*D25</f>
        <v>31.687055555555553</v>
      </c>
      <c r="E69" s="5">
        <f>(7/30)/12</f>
        <v>1.9444444444444445E-2</v>
      </c>
      <c r="F69" s="3">
        <f>E69*F25</f>
        <v>46.782555555555554</v>
      </c>
    </row>
    <row r="70" spans="1:7" x14ac:dyDescent="0.35">
      <c r="A70" s="32" t="s">
        <v>3</v>
      </c>
      <c r="B70" s="9" t="s">
        <v>44</v>
      </c>
      <c r="C70" s="5">
        <f>C45</f>
        <v>0.36800000000000005</v>
      </c>
      <c r="D70" s="3">
        <f>C70*D69</f>
        <v>11.660836444444445</v>
      </c>
      <c r="E70" s="5">
        <f>E45</f>
        <v>0.36800000000000005</v>
      </c>
      <c r="F70" s="3">
        <f>E70*F69</f>
        <v>17.215980444444448</v>
      </c>
      <c r="G70" t="s">
        <v>152</v>
      </c>
    </row>
    <row r="71" spans="1:7" x14ac:dyDescent="0.35">
      <c r="A71" s="29" t="s">
        <v>22</v>
      </c>
      <c r="B71" s="27" t="s">
        <v>45</v>
      </c>
      <c r="C71" s="5">
        <v>0.04</v>
      </c>
      <c r="D71" s="3">
        <f>C71*D25</f>
        <v>65.184799999999996</v>
      </c>
      <c r="E71" s="5">
        <v>0.04</v>
      </c>
      <c r="F71" s="3">
        <f>E71*F25</f>
        <v>96.238399999999999</v>
      </c>
    </row>
    <row r="72" spans="1:7" x14ac:dyDescent="0.35">
      <c r="A72" s="116" t="s">
        <v>9</v>
      </c>
      <c r="B72" s="116"/>
      <c r="C72" s="27"/>
      <c r="D72" s="4">
        <f>ROUND(SUM(D67:D71),2)</f>
        <v>116.68</v>
      </c>
      <c r="E72" s="27"/>
      <c r="F72" s="4">
        <f>ROUND(SUM(F67:F71),2)</f>
        <v>172.26</v>
      </c>
    </row>
    <row r="74" spans="1:7" ht="15" customHeight="1" x14ac:dyDescent="0.35"/>
    <row r="75" spans="1:7" ht="40" customHeight="1" x14ac:dyDescent="0.35">
      <c r="A75" s="96" t="s">
        <v>97</v>
      </c>
      <c r="B75" s="96"/>
      <c r="C75" s="96" t="str">
        <f>$C$19</f>
        <v>Copeiragem</v>
      </c>
      <c r="D75" s="96"/>
      <c r="E75" s="96" t="str">
        <f>$E$19</f>
        <v>Garçom</v>
      </c>
      <c r="F75" s="96"/>
    </row>
    <row r="76" spans="1:7" x14ac:dyDescent="0.35">
      <c r="A76" s="29" t="s">
        <v>46</v>
      </c>
      <c r="B76" s="29" t="s">
        <v>98</v>
      </c>
      <c r="C76" s="29" t="s">
        <v>13</v>
      </c>
      <c r="D76" s="29" t="s">
        <v>6</v>
      </c>
      <c r="E76" s="29" t="s">
        <v>13</v>
      </c>
      <c r="F76" s="29" t="s">
        <v>6</v>
      </c>
      <c r="G76" t="s">
        <v>153</v>
      </c>
    </row>
    <row r="77" spans="1:7" x14ac:dyDescent="0.35">
      <c r="A77" s="29" t="s">
        <v>0</v>
      </c>
      <c r="B77" s="27" t="s">
        <v>47</v>
      </c>
      <c r="C77" s="5">
        <f>12.1%-C31</f>
        <v>9.8888888888888915E-3</v>
      </c>
      <c r="D77" s="3">
        <f t="shared" ref="D77:D82" si="4">C77*($D$25+$D$59+$D$60+$D$72)</f>
        <v>27.485968888888891</v>
      </c>
      <c r="E77" s="5">
        <f>12.1%-E31</f>
        <v>9.8888888888888915E-3</v>
      </c>
      <c r="F77" s="3">
        <f>E77*($F$25+$F$59+$F$60+$F$72)</f>
        <v>40.580044444444461</v>
      </c>
      <c r="G77" t="s">
        <v>154</v>
      </c>
    </row>
    <row r="78" spans="1:7" x14ac:dyDescent="0.35">
      <c r="A78" s="29" t="s">
        <v>1</v>
      </c>
      <c r="B78" s="27" t="s">
        <v>48</v>
      </c>
      <c r="C78" s="5">
        <f>(5.96/30)/12</f>
        <v>1.6555555555555556E-2</v>
      </c>
      <c r="D78" s="3">
        <f t="shared" si="4"/>
        <v>46.015835555555547</v>
      </c>
      <c r="E78" s="5">
        <f>(5.96/30)/12</f>
        <v>1.6555555555555556E-2</v>
      </c>
      <c r="F78" s="3">
        <f>E78*($F$25+$F$59+$F$60+$F$72)</f>
        <v>67.937377777777783</v>
      </c>
      <c r="G78" t="s">
        <v>155</v>
      </c>
    </row>
    <row r="79" spans="1:7" ht="15" customHeight="1" x14ac:dyDescent="0.35">
      <c r="A79" s="29" t="s">
        <v>2</v>
      </c>
      <c r="B79" s="27" t="s">
        <v>49</v>
      </c>
      <c r="C79" s="5">
        <f>((5/30)/12)*0.015</f>
        <v>2.0833333333333332E-4</v>
      </c>
      <c r="D79" s="3">
        <f t="shared" si="4"/>
        <v>0.57905833333333323</v>
      </c>
      <c r="E79" s="5">
        <f>((5/30)/12)*0.015</f>
        <v>2.0833333333333332E-4</v>
      </c>
      <c r="F79" s="3">
        <f>E79*($F$25+$F$59+$F$60+$F$72)</f>
        <v>0.85491666666666666</v>
      </c>
      <c r="G79" t="s">
        <v>136</v>
      </c>
    </row>
    <row r="80" spans="1:7" ht="15" customHeight="1" x14ac:dyDescent="0.35">
      <c r="A80" s="32" t="s">
        <v>3</v>
      </c>
      <c r="B80" s="9" t="s">
        <v>50</v>
      </c>
      <c r="C80" s="5">
        <f>(15/360)*0.44%</f>
        <v>1.8333333333333334E-4</v>
      </c>
      <c r="D80" s="3">
        <f t="shared" si="4"/>
        <v>0.50957133333333327</v>
      </c>
      <c r="E80" s="5">
        <f>(15/360)*0.44%</f>
        <v>1.8333333333333334E-4</v>
      </c>
      <c r="F80" s="3">
        <f>E80*($F$25+$F$59+$F$60+$F$72)</f>
        <v>0.7523266666666667</v>
      </c>
      <c r="G80" t="s">
        <v>156</v>
      </c>
    </row>
    <row r="81" spans="1:6" x14ac:dyDescent="0.35">
      <c r="A81" s="32" t="s">
        <v>22</v>
      </c>
      <c r="B81" s="9" t="s">
        <v>51</v>
      </c>
      <c r="C81" s="5">
        <f>50%*(4/12)*1.5%*(8.33%+11.11%)</f>
        <v>4.8599999999999989E-4</v>
      </c>
      <c r="D81" s="3">
        <f t="shared" si="4"/>
        <v>1.3508272799999994</v>
      </c>
      <c r="E81" s="5">
        <f>50%*(4/12)*1.5%*(8.33%+11.11%)</f>
        <v>4.8599999999999989E-4</v>
      </c>
      <c r="F81" s="3">
        <f>E81*($F$25+$F$59+$F$60+$F$72)</f>
        <v>1.9943495999999996</v>
      </c>
    </row>
    <row r="82" spans="1:6" x14ac:dyDescent="0.35">
      <c r="A82" s="29" t="s">
        <v>24</v>
      </c>
      <c r="B82" s="27" t="s">
        <v>52</v>
      </c>
      <c r="C82" s="6"/>
      <c r="D82" s="3">
        <f t="shared" si="4"/>
        <v>0</v>
      </c>
      <c r="E82" s="3"/>
      <c r="F82" s="3">
        <f t="shared" ref="F82" si="5">E82*($D$25+$D$59+$D$60+$D$72)</f>
        <v>0</v>
      </c>
    </row>
    <row r="83" spans="1:6" x14ac:dyDescent="0.35">
      <c r="A83" s="116" t="s">
        <v>9</v>
      </c>
      <c r="B83" s="116"/>
      <c r="C83" s="27"/>
      <c r="D83" s="4">
        <f>ROUND(SUM(D77:D82),2)</f>
        <v>75.94</v>
      </c>
      <c r="E83" s="27"/>
      <c r="F83" s="4">
        <f>ROUND(SUM(F77:F82),2)</f>
        <v>112.12</v>
      </c>
    </row>
    <row r="85" spans="1:6" ht="15" customHeight="1" x14ac:dyDescent="0.35"/>
    <row r="86" spans="1:6" ht="40" customHeight="1" x14ac:dyDescent="0.35">
      <c r="A86" s="96" t="s">
        <v>53</v>
      </c>
      <c r="B86" s="96"/>
      <c r="C86" s="96" t="str">
        <f>$C$19</f>
        <v>Copeiragem</v>
      </c>
      <c r="D86" s="96"/>
      <c r="E86" s="96" t="str">
        <f>$E$19</f>
        <v>Garçom</v>
      </c>
      <c r="F86" s="96"/>
    </row>
    <row r="87" spans="1:6" x14ac:dyDescent="0.35">
      <c r="A87" s="29" t="s">
        <v>54</v>
      </c>
      <c r="B87" s="29" t="s">
        <v>58</v>
      </c>
      <c r="C87" s="29"/>
      <c r="D87" s="29" t="s">
        <v>6</v>
      </c>
      <c r="E87" s="29"/>
      <c r="F87" s="29" t="s">
        <v>6</v>
      </c>
    </row>
    <row r="88" spans="1:6" ht="29" x14ac:dyDescent="0.35">
      <c r="A88" s="29" t="s">
        <v>0</v>
      </c>
      <c r="B88" s="9" t="s">
        <v>55</v>
      </c>
      <c r="C88" s="10"/>
      <c r="D88" s="3">
        <v>0</v>
      </c>
      <c r="E88" s="7"/>
      <c r="F88" s="3">
        <v>0</v>
      </c>
    </row>
    <row r="89" spans="1:6" x14ac:dyDescent="0.35">
      <c r="A89" s="116" t="s">
        <v>9</v>
      </c>
      <c r="B89" s="116"/>
      <c r="C89" s="27"/>
      <c r="D89" s="4">
        <f>SUM(D88:D88)</f>
        <v>0</v>
      </c>
      <c r="E89" s="27"/>
      <c r="F89" s="4">
        <f>SUM(F88:F88)</f>
        <v>0</v>
      </c>
    </row>
    <row r="91" spans="1:6" ht="15" customHeight="1" x14ac:dyDescent="0.35"/>
    <row r="92" spans="1:6" ht="40" customHeight="1" x14ac:dyDescent="0.35">
      <c r="A92" s="96" t="s">
        <v>56</v>
      </c>
      <c r="B92" s="96"/>
      <c r="C92" s="96" t="str">
        <f>$C$19</f>
        <v>Copeiragem</v>
      </c>
      <c r="D92" s="96"/>
      <c r="E92" s="96" t="str">
        <f>$E$19</f>
        <v>Garçom</v>
      </c>
      <c r="F92" s="96"/>
    </row>
    <row r="93" spans="1:6" x14ac:dyDescent="0.35">
      <c r="A93" s="29">
        <v>4</v>
      </c>
      <c r="B93" s="29" t="s">
        <v>99</v>
      </c>
      <c r="C93" s="29"/>
      <c r="D93" s="29" t="s">
        <v>6</v>
      </c>
      <c r="E93" s="29"/>
      <c r="F93" s="29" t="s">
        <v>6</v>
      </c>
    </row>
    <row r="94" spans="1:6" x14ac:dyDescent="0.35">
      <c r="A94" s="29" t="s">
        <v>46</v>
      </c>
      <c r="B94" s="27" t="s">
        <v>57</v>
      </c>
      <c r="C94" s="6"/>
      <c r="D94" s="28">
        <f>D83</f>
        <v>75.94</v>
      </c>
      <c r="E94" s="7"/>
      <c r="F94" s="28">
        <f>F83</f>
        <v>112.12</v>
      </c>
    </row>
    <row r="95" spans="1:6" x14ac:dyDescent="0.35">
      <c r="A95" s="29" t="s">
        <v>54</v>
      </c>
      <c r="B95" s="27" t="s">
        <v>58</v>
      </c>
      <c r="C95" s="6"/>
      <c r="D95" s="28">
        <f>D89</f>
        <v>0</v>
      </c>
      <c r="E95" s="7"/>
      <c r="F95" s="28">
        <f>F89</f>
        <v>0</v>
      </c>
    </row>
    <row r="96" spans="1:6" x14ac:dyDescent="0.35">
      <c r="A96" s="116" t="s">
        <v>9</v>
      </c>
      <c r="B96" s="116"/>
      <c r="C96" s="27"/>
      <c r="D96" s="4">
        <f>ROUND(SUM(D94:D95),2)</f>
        <v>75.94</v>
      </c>
      <c r="E96" s="27"/>
      <c r="F96" s="4">
        <f>ROUND(SUM(F94:F95),2)</f>
        <v>112.12</v>
      </c>
    </row>
    <row r="98" spans="1:7" ht="15" customHeight="1" x14ac:dyDescent="0.35"/>
    <row r="99" spans="1:7" ht="40" customHeight="1" x14ac:dyDescent="0.35">
      <c r="A99" s="96" t="s">
        <v>59</v>
      </c>
      <c r="B99" s="96"/>
      <c r="C99" s="96" t="str">
        <f>$C$19</f>
        <v>Copeiragem</v>
      </c>
      <c r="D99" s="96"/>
      <c r="E99" s="96" t="str">
        <f>$E$19</f>
        <v>Garçom</v>
      </c>
      <c r="F99" s="96"/>
    </row>
    <row r="100" spans="1:7" x14ac:dyDescent="0.35">
      <c r="A100" s="29">
        <v>5</v>
      </c>
      <c r="B100" s="29" t="s">
        <v>60</v>
      </c>
      <c r="C100" s="29"/>
      <c r="D100" s="29" t="s">
        <v>6</v>
      </c>
      <c r="E100" s="29"/>
      <c r="F100" s="29" t="s">
        <v>6</v>
      </c>
    </row>
    <row r="101" spans="1:7" x14ac:dyDescent="0.35">
      <c r="A101" s="29" t="s">
        <v>0</v>
      </c>
      <c r="B101" s="27" t="s">
        <v>273</v>
      </c>
      <c r="C101" s="6"/>
      <c r="D101" s="28">
        <f>Uniformes!B10</f>
        <v>78.349999999999994</v>
      </c>
      <c r="E101" s="7"/>
      <c r="F101" s="28">
        <f>Uniformes!B44</f>
        <v>112.765</v>
      </c>
    </row>
    <row r="102" spans="1:7" x14ac:dyDescent="0.35">
      <c r="A102" s="29" t="s">
        <v>1</v>
      </c>
      <c r="B102" s="27" t="s">
        <v>61</v>
      </c>
      <c r="C102" s="6"/>
      <c r="D102" s="83">
        <f>Mat_Ins_Copeiragem!L56</f>
        <v>973.40577777777764</v>
      </c>
      <c r="E102" s="7"/>
      <c r="F102" s="29"/>
    </row>
    <row r="103" spans="1:7" x14ac:dyDescent="0.35">
      <c r="A103" s="29" t="s">
        <v>2</v>
      </c>
      <c r="B103" s="27" t="s">
        <v>62</v>
      </c>
      <c r="C103" s="6"/>
      <c r="D103" s="29"/>
      <c r="E103" s="7"/>
      <c r="F103" s="29"/>
    </row>
    <row r="104" spans="1:7" x14ac:dyDescent="0.35">
      <c r="A104" s="32" t="s">
        <v>3</v>
      </c>
      <c r="B104" s="9" t="s">
        <v>8</v>
      </c>
      <c r="C104" s="6"/>
      <c r="D104" s="29"/>
      <c r="E104" s="7"/>
      <c r="F104" s="29"/>
    </row>
    <row r="105" spans="1:7" x14ac:dyDescent="0.35">
      <c r="A105" s="116" t="s">
        <v>9</v>
      </c>
      <c r="B105" s="116"/>
      <c r="C105" s="27"/>
      <c r="D105" s="4">
        <f>ROUND(SUM(D101:D104),2)</f>
        <v>1051.76</v>
      </c>
      <c r="E105" s="27"/>
      <c r="F105" s="4">
        <f>ROUND(SUM(F101:F104),2)</f>
        <v>112.77</v>
      </c>
    </row>
    <row r="107" spans="1:7" ht="15" customHeight="1" x14ac:dyDescent="0.35"/>
    <row r="108" spans="1:7" ht="40" customHeight="1" x14ac:dyDescent="0.35">
      <c r="A108" s="96" t="s">
        <v>63</v>
      </c>
      <c r="B108" s="96"/>
      <c r="C108" s="96" t="str">
        <f>$C$19</f>
        <v>Copeiragem</v>
      </c>
      <c r="D108" s="96"/>
      <c r="E108" s="96" t="str">
        <f>$E$19</f>
        <v>Garçom</v>
      </c>
      <c r="F108" s="96"/>
    </row>
    <row r="109" spans="1:7" x14ac:dyDescent="0.35">
      <c r="A109" s="29">
        <v>6</v>
      </c>
      <c r="B109" s="29" t="s">
        <v>100</v>
      </c>
      <c r="C109" s="29" t="s">
        <v>13</v>
      </c>
      <c r="D109" s="29" t="s">
        <v>6</v>
      </c>
      <c r="E109" s="29" t="s">
        <v>13</v>
      </c>
      <c r="F109" s="29" t="s">
        <v>6</v>
      </c>
      <c r="G109" t="s">
        <v>137</v>
      </c>
    </row>
    <row r="110" spans="1:7" x14ac:dyDescent="0.35">
      <c r="A110" s="29" t="s">
        <v>0</v>
      </c>
      <c r="B110" s="27" t="s">
        <v>64</v>
      </c>
      <c r="C110" s="5">
        <f>ROUND(LDI!$B$10,2)</f>
        <v>0.01</v>
      </c>
      <c r="D110" s="28">
        <f>ROUND(D125*C110,2)</f>
        <v>49.27</v>
      </c>
      <c r="E110" s="5">
        <f>ROUND(LDI!$B$10,2)</f>
        <v>0.01</v>
      </c>
      <c r="F110" s="28">
        <f>ROUND(F125*E110,2)</f>
        <v>53.01</v>
      </c>
      <c r="G110" t="s">
        <v>393</v>
      </c>
    </row>
    <row r="111" spans="1:7" x14ac:dyDescent="0.35">
      <c r="A111" s="29" t="s">
        <v>1</v>
      </c>
      <c r="B111" s="27" t="s">
        <v>65</v>
      </c>
      <c r="C111" s="5">
        <v>0.1</v>
      </c>
      <c r="D111" s="28">
        <f>ROUND((D125+D110)*C111,2)</f>
        <v>497.59</v>
      </c>
      <c r="E111" s="5">
        <v>0.1</v>
      </c>
      <c r="F111" s="28">
        <f>ROUND((F125+F110)*E111,2)</f>
        <v>535.42999999999995</v>
      </c>
    </row>
    <row r="112" spans="1:7" x14ac:dyDescent="0.35">
      <c r="A112" s="29" t="s">
        <v>2</v>
      </c>
      <c r="B112" s="27" t="s">
        <v>66</v>
      </c>
      <c r="C112" s="5">
        <f t="shared" ref="C112:D112" si="6">SUM(C113:C115)</f>
        <v>0.14250000000000002</v>
      </c>
      <c r="D112" s="28">
        <f t="shared" si="6"/>
        <v>909.58</v>
      </c>
      <c r="E112" s="5">
        <f t="shared" ref="E112:F112" si="7">SUM(E113:E115)</f>
        <v>0.14250000000000002</v>
      </c>
      <c r="F112" s="28">
        <f t="shared" si="7"/>
        <v>978.77</v>
      </c>
      <c r="G112" t="s">
        <v>173</v>
      </c>
    </row>
    <row r="113" spans="1:7" x14ac:dyDescent="0.35">
      <c r="A113" s="32" t="s">
        <v>67</v>
      </c>
      <c r="B113" s="9" t="s">
        <v>68</v>
      </c>
      <c r="C113" s="5">
        <v>1.6500000000000001E-2</v>
      </c>
      <c r="D113" s="28">
        <f>ROUND(C113*D127,2)</f>
        <v>105.32</v>
      </c>
      <c r="E113" s="5">
        <v>1.6500000000000001E-2</v>
      </c>
      <c r="F113" s="28">
        <f>ROUND(E113*F127,2)</f>
        <v>113.33</v>
      </c>
      <c r="G113" t="s">
        <v>174</v>
      </c>
    </row>
    <row r="114" spans="1:7" x14ac:dyDescent="0.35">
      <c r="A114" s="32" t="s">
        <v>69</v>
      </c>
      <c r="B114" s="9" t="s">
        <v>70</v>
      </c>
      <c r="C114" s="5">
        <v>7.5999999999999998E-2</v>
      </c>
      <c r="D114" s="28">
        <f>ROUND(C114*D127,2)</f>
        <v>485.11</v>
      </c>
      <c r="E114" s="5">
        <v>7.5999999999999998E-2</v>
      </c>
      <c r="F114" s="28">
        <f>ROUND(E114*F127,2)</f>
        <v>522.01</v>
      </c>
      <c r="G114" t="s">
        <v>175</v>
      </c>
    </row>
    <row r="115" spans="1:7" x14ac:dyDescent="0.35">
      <c r="A115" s="29" t="s">
        <v>71</v>
      </c>
      <c r="B115" s="27" t="s">
        <v>72</v>
      </c>
      <c r="C115" s="5">
        <v>0.05</v>
      </c>
      <c r="D115" s="28">
        <f>ROUND(C115*D127,2)</f>
        <v>319.14999999999998</v>
      </c>
      <c r="E115" s="5">
        <v>0.05</v>
      </c>
      <c r="F115" s="28">
        <f>ROUND(E115*F127,2)</f>
        <v>343.43</v>
      </c>
    </row>
    <row r="116" spans="1:7" x14ac:dyDescent="0.35">
      <c r="A116" s="116" t="s">
        <v>9</v>
      </c>
      <c r="B116" s="116"/>
      <c r="C116" s="27"/>
      <c r="D116" s="4">
        <f>ROUND(SUM(D110+D111+D112),2)</f>
        <v>1456.44</v>
      </c>
      <c r="E116" s="27"/>
      <c r="F116" s="4">
        <f>ROUND(SUM(F110+F111+F112),2)</f>
        <v>1567.21</v>
      </c>
    </row>
    <row r="117" spans="1:7" ht="15" customHeight="1" x14ac:dyDescent="0.35">
      <c r="A117" s="33"/>
      <c r="B117" s="33"/>
      <c r="D117" s="11"/>
      <c r="E117" s="11"/>
      <c r="F117" s="11"/>
    </row>
    <row r="118" spans="1:7" ht="40" customHeight="1" x14ac:dyDescent="0.35">
      <c r="A118" s="96" t="s">
        <v>73</v>
      </c>
      <c r="B118" s="96"/>
      <c r="C118" s="96" t="str">
        <f>$C$19</f>
        <v>Copeiragem</v>
      </c>
      <c r="D118" s="96"/>
      <c r="E118" s="96" t="str">
        <f>$E$19</f>
        <v>Garçom</v>
      </c>
      <c r="F118" s="96"/>
    </row>
    <row r="119" spans="1:7" x14ac:dyDescent="0.35">
      <c r="A119" s="123" t="s">
        <v>74</v>
      </c>
      <c r="B119" s="123"/>
      <c r="C119" s="29" t="s">
        <v>13</v>
      </c>
      <c r="D119" s="29" t="s">
        <v>6</v>
      </c>
      <c r="E119" s="29" t="s">
        <v>13</v>
      </c>
      <c r="F119" s="29" t="s">
        <v>6</v>
      </c>
    </row>
    <row r="120" spans="1:7" x14ac:dyDescent="0.35">
      <c r="A120" s="29" t="s">
        <v>0</v>
      </c>
      <c r="B120" s="27" t="s">
        <v>75</v>
      </c>
      <c r="C120" s="7">
        <f>(D120/$D$127)</f>
        <v>0.25530453314722307</v>
      </c>
      <c r="D120" s="28">
        <f>D25</f>
        <v>1629.62</v>
      </c>
      <c r="E120" s="34">
        <f>F120/F127</f>
        <v>0.35028714194272437</v>
      </c>
      <c r="F120" s="28">
        <f>F25</f>
        <v>2405.96</v>
      </c>
    </row>
    <row r="121" spans="1:7" x14ac:dyDescent="0.35">
      <c r="A121" s="29" t="s">
        <v>1</v>
      </c>
      <c r="B121" s="27" t="s">
        <v>76</v>
      </c>
      <c r="C121" s="7">
        <f t="shared" ref="C121:C126" si="8">(D121/$D$127)</f>
        <v>0.32157072491623206</v>
      </c>
      <c r="D121" s="28">
        <f>D62</f>
        <v>2052.6</v>
      </c>
      <c r="E121" s="34">
        <f>F121/F127</f>
        <v>0.36371940670009179</v>
      </c>
      <c r="F121" s="28">
        <f>F62</f>
        <v>2498.2199999999998</v>
      </c>
    </row>
    <row r="122" spans="1:7" x14ac:dyDescent="0.35">
      <c r="A122" s="29" t="s">
        <v>2</v>
      </c>
      <c r="B122" s="27" t="s">
        <v>77</v>
      </c>
      <c r="C122" s="7">
        <f t="shared" si="8"/>
        <v>1.827968049460487E-2</v>
      </c>
      <c r="D122" s="28">
        <f>D72</f>
        <v>116.68</v>
      </c>
      <c r="E122" s="34">
        <f>F122/F127</f>
        <v>2.5079578659268523E-2</v>
      </c>
      <c r="F122" s="28">
        <f>F72</f>
        <v>172.26</v>
      </c>
    </row>
    <row r="123" spans="1:7" x14ac:dyDescent="0.35">
      <c r="A123" s="32" t="s">
        <v>3</v>
      </c>
      <c r="B123" s="9" t="s">
        <v>78</v>
      </c>
      <c r="C123" s="7">
        <f t="shared" si="8"/>
        <v>1.1897145498459837E-2</v>
      </c>
      <c r="D123" s="28">
        <f>D96</f>
        <v>75.94</v>
      </c>
      <c r="E123" s="34">
        <f>F123/F127</f>
        <v>1.6323710433514382E-2</v>
      </c>
      <c r="F123" s="28">
        <f>F96</f>
        <v>112.12</v>
      </c>
    </row>
    <row r="124" spans="1:7" x14ac:dyDescent="0.35">
      <c r="A124" s="32" t="s">
        <v>22</v>
      </c>
      <c r="B124" s="9" t="s">
        <v>79</v>
      </c>
      <c r="C124" s="7">
        <f t="shared" si="8"/>
        <v>0.16477405516802895</v>
      </c>
      <c r="D124" s="28">
        <f>D105</f>
        <v>1051.76</v>
      </c>
      <c r="E124" s="34">
        <f>F124/F127</f>
        <v>1.6418344858967326E-2</v>
      </c>
      <c r="F124" s="28">
        <f>F105</f>
        <v>112.77</v>
      </c>
    </row>
    <row r="125" spans="1:7" x14ac:dyDescent="0.35">
      <c r="A125" s="125" t="s">
        <v>80</v>
      </c>
      <c r="B125" s="125"/>
      <c r="C125" s="7"/>
      <c r="D125" s="35">
        <f>ROUND(SUM(D120:D124),2)</f>
        <v>4926.6000000000004</v>
      </c>
      <c r="E125" s="34"/>
      <c r="F125" s="35">
        <f>ROUND(SUM(F120:F124),2)</f>
        <v>5301.33</v>
      </c>
    </row>
    <row r="126" spans="1:7" x14ac:dyDescent="0.35">
      <c r="A126" s="32" t="s">
        <v>24</v>
      </c>
      <c r="B126" s="36" t="s">
        <v>63</v>
      </c>
      <c r="C126" s="7">
        <f t="shared" si="8"/>
        <v>0.2281732761361186</v>
      </c>
      <c r="D126" s="28">
        <f>D116</f>
        <v>1456.44</v>
      </c>
      <c r="E126" s="34">
        <f>F126/F127</f>
        <v>0.22817233525248012</v>
      </c>
      <c r="F126" s="28">
        <f>F116</f>
        <v>1567.21</v>
      </c>
    </row>
    <row r="127" spans="1:7" x14ac:dyDescent="0.35">
      <c r="A127" s="125" t="s">
        <v>81</v>
      </c>
      <c r="B127" s="125"/>
      <c r="C127" s="37">
        <f>SUM(C120:C126)</f>
        <v>0.99999941536066728</v>
      </c>
      <c r="D127" s="35">
        <f>(D125+D110+D111)/(1-C112)</f>
        <v>6383.0437317784272</v>
      </c>
      <c r="E127" s="34">
        <f>SUM(E120:E126)</f>
        <v>1.0000005178470466</v>
      </c>
      <c r="F127" s="35">
        <f>(F125+F110+F111)/(1-E112)</f>
        <v>6868.5364431486887</v>
      </c>
    </row>
    <row r="128" spans="1:7" x14ac:dyDescent="0.35">
      <c r="D128" s="38">
        <f>D127/D120</f>
        <v>3.9168908897647472</v>
      </c>
      <c r="E128" s="38">
        <f>E127/E120</f>
        <v>2.8548022411012655</v>
      </c>
      <c r="F128" s="38"/>
    </row>
    <row r="129" spans="1:22" ht="15" customHeight="1" x14ac:dyDescent="0.35">
      <c r="D129" s="38">
        <f>(D127-D120)/D120</f>
        <v>2.9168908897647472</v>
      </c>
      <c r="E129" s="38">
        <f>(E127-E120)/E120</f>
        <v>1.8548022411012655</v>
      </c>
      <c r="F129" s="38"/>
    </row>
    <row r="130" spans="1:22" ht="40" customHeight="1" x14ac:dyDescent="0.35">
      <c r="A130" s="96" t="s">
        <v>351</v>
      </c>
      <c r="B130" s="96"/>
      <c r="C130" s="96"/>
      <c r="D130" s="96"/>
      <c r="E130" s="96"/>
      <c r="F130" s="96"/>
      <c r="G130" s="96"/>
      <c r="H130" s="96"/>
      <c r="I130" s="96"/>
      <c r="J130" s="96"/>
      <c r="K130" s="96"/>
      <c r="L130" s="96"/>
    </row>
    <row r="131" spans="1:22" x14ac:dyDescent="0.35">
      <c r="A131" s="96" t="s">
        <v>82</v>
      </c>
      <c r="B131" s="96"/>
      <c r="C131" s="96" t="s">
        <v>83</v>
      </c>
      <c r="D131" s="96"/>
      <c r="E131" s="96" t="s">
        <v>84</v>
      </c>
      <c r="F131" s="96"/>
      <c r="G131" s="96" t="s">
        <v>85</v>
      </c>
      <c r="H131" s="96"/>
      <c r="I131" s="96" t="s">
        <v>86</v>
      </c>
      <c r="J131" s="96"/>
      <c r="K131" s="96" t="s">
        <v>87</v>
      </c>
      <c r="L131" s="96"/>
    </row>
    <row r="132" spans="1:22" x14ac:dyDescent="0.35">
      <c r="A132" s="29" t="s">
        <v>88</v>
      </c>
      <c r="B132" s="39" t="str">
        <f>C19</f>
        <v>Copeiragem</v>
      </c>
      <c r="C132" s="126">
        <f>ROUND(D127,2)</f>
        <v>6383.04</v>
      </c>
      <c r="D132" s="126"/>
      <c r="E132" s="127">
        <v>1</v>
      </c>
      <c r="F132" s="127"/>
      <c r="G132" s="126">
        <f>(C132*E132)</f>
        <v>6383.04</v>
      </c>
      <c r="H132" s="126"/>
      <c r="I132" s="127">
        <v>6</v>
      </c>
      <c r="J132" s="127"/>
      <c r="K132" s="126">
        <f>G132*I132</f>
        <v>38298.239999999998</v>
      </c>
      <c r="L132" s="126"/>
    </row>
    <row r="133" spans="1:22" x14ac:dyDescent="0.35">
      <c r="A133" s="32" t="s">
        <v>89</v>
      </c>
      <c r="B133" s="39" t="str">
        <f>E19</f>
        <v>Garçom</v>
      </c>
      <c r="C133" s="126">
        <f>ROUND(F127,2)</f>
        <v>6868.54</v>
      </c>
      <c r="D133" s="126"/>
      <c r="E133" s="97">
        <v>1</v>
      </c>
      <c r="F133" s="99"/>
      <c r="G133" s="126">
        <f>(C133*E133)</f>
        <v>6868.54</v>
      </c>
      <c r="H133" s="126"/>
      <c r="I133" s="97">
        <v>2</v>
      </c>
      <c r="J133" s="99"/>
      <c r="K133" s="126">
        <f>G133*I133</f>
        <v>13737.08</v>
      </c>
      <c r="L133" s="126"/>
      <c r="N133" s="55"/>
      <c r="O133" s="55"/>
      <c r="P133" s="55"/>
      <c r="Q133" s="55"/>
      <c r="R133" s="55"/>
      <c r="S133" s="55"/>
      <c r="T133" s="55"/>
      <c r="V133" s="55"/>
    </row>
    <row r="134" spans="1:22" x14ac:dyDescent="0.35">
      <c r="A134" s="131" t="s">
        <v>93</v>
      </c>
      <c r="B134" s="131"/>
      <c r="C134" s="123"/>
      <c r="D134" s="123"/>
      <c r="E134" s="123"/>
      <c r="F134" s="123"/>
      <c r="G134" s="123"/>
      <c r="H134" s="123"/>
      <c r="I134" s="127">
        <f>SUM(I132:I133)</f>
        <v>8</v>
      </c>
      <c r="J134" s="127"/>
      <c r="K134" s="132">
        <f>SUM(K132:K133)</f>
        <v>52035.32</v>
      </c>
      <c r="L134" s="132"/>
    </row>
    <row r="135" spans="1:22" x14ac:dyDescent="0.35">
      <c r="A135" s="131" t="s">
        <v>200</v>
      </c>
      <c r="B135" s="131"/>
      <c r="C135" s="123"/>
      <c r="D135" s="123"/>
      <c r="E135" s="123"/>
      <c r="F135" s="123"/>
      <c r="G135" s="123"/>
      <c r="H135" s="123"/>
      <c r="I135" s="123"/>
      <c r="J135" s="123"/>
      <c r="K135" s="132">
        <f>K134*12</f>
        <v>624423.84</v>
      </c>
      <c r="L135" s="132"/>
    </row>
    <row r="136" spans="1:22" x14ac:dyDescent="0.35">
      <c r="A136" s="131" t="s">
        <v>201</v>
      </c>
      <c r="B136" s="131"/>
      <c r="C136" s="123"/>
      <c r="D136" s="123"/>
      <c r="E136" s="123"/>
      <c r="F136" s="123"/>
      <c r="G136" s="123"/>
      <c r="H136" s="123"/>
      <c r="I136" s="123"/>
      <c r="J136" s="123"/>
      <c r="K136" s="132">
        <f>K134*30</f>
        <v>1561059.6</v>
      </c>
      <c r="L136" s="132"/>
    </row>
  </sheetData>
  <mergeCells count="106">
    <mergeCell ref="C3:D3"/>
    <mergeCell ref="E3:F3"/>
    <mergeCell ref="C2:D2"/>
    <mergeCell ref="E2:F2"/>
    <mergeCell ref="C10:D10"/>
    <mergeCell ref="E10:F10"/>
    <mergeCell ref="C9:D9"/>
    <mergeCell ref="E9:F9"/>
    <mergeCell ref="C8:D8"/>
    <mergeCell ref="E8:F8"/>
    <mergeCell ref="C5:D5"/>
    <mergeCell ref="E5:F5"/>
    <mergeCell ref="C4:D4"/>
    <mergeCell ref="E4:F4"/>
    <mergeCell ref="C17:D17"/>
    <mergeCell ref="E17:F17"/>
    <mergeCell ref="C16:D16"/>
    <mergeCell ref="E16:F16"/>
    <mergeCell ref="C15:D15"/>
    <mergeCell ref="E15:F15"/>
    <mergeCell ref="C14:D14"/>
    <mergeCell ref="E14:F14"/>
    <mergeCell ref="C13:D13"/>
    <mergeCell ref="E13:F13"/>
    <mergeCell ref="E35:F35"/>
    <mergeCell ref="A32:B32"/>
    <mergeCell ref="A35:B35"/>
    <mergeCell ref="C35:D35"/>
    <mergeCell ref="E28:F28"/>
    <mergeCell ref="E19:F19"/>
    <mergeCell ref="A25:B25"/>
    <mergeCell ref="A28:B28"/>
    <mergeCell ref="C28:D28"/>
    <mergeCell ref="A19:B19"/>
    <mergeCell ref="C19:D19"/>
    <mergeCell ref="A51:A52"/>
    <mergeCell ref="B51:B52"/>
    <mergeCell ref="A54:B54"/>
    <mergeCell ref="A57:B57"/>
    <mergeCell ref="C57:D57"/>
    <mergeCell ref="E48:F48"/>
    <mergeCell ref="A45:B45"/>
    <mergeCell ref="A48:B48"/>
    <mergeCell ref="C48:D48"/>
    <mergeCell ref="E75:F75"/>
    <mergeCell ref="E65:F65"/>
    <mergeCell ref="A72:B72"/>
    <mergeCell ref="A75:B75"/>
    <mergeCell ref="C75:D75"/>
    <mergeCell ref="A62:B62"/>
    <mergeCell ref="A65:B65"/>
    <mergeCell ref="C65:D65"/>
    <mergeCell ref="E57:F57"/>
    <mergeCell ref="A96:B96"/>
    <mergeCell ref="A99:B99"/>
    <mergeCell ref="C99:D99"/>
    <mergeCell ref="E92:F92"/>
    <mergeCell ref="A89:B89"/>
    <mergeCell ref="A92:B92"/>
    <mergeCell ref="C92:D92"/>
    <mergeCell ref="E86:F86"/>
    <mergeCell ref="A83:B83"/>
    <mergeCell ref="A86:B86"/>
    <mergeCell ref="C86:D86"/>
    <mergeCell ref="E118:F118"/>
    <mergeCell ref="A116:B116"/>
    <mergeCell ref="A118:B118"/>
    <mergeCell ref="C118:D118"/>
    <mergeCell ref="E108:F108"/>
    <mergeCell ref="A105:B105"/>
    <mergeCell ref="A108:B108"/>
    <mergeCell ref="C108:D108"/>
    <mergeCell ref="E99:F99"/>
    <mergeCell ref="A125:B125"/>
    <mergeCell ref="A127:B127"/>
    <mergeCell ref="A130:L130"/>
    <mergeCell ref="A131:B131"/>
    <mergeCell ref="C131:D131"/>
    <mergeCell ref="E131:F131"/>
    <mergeCell ref="G131:H131"/>
    <mergeCell ref="I131:J131"/>
    <mergeCell ref="K131:L131"/>
    <mergeCell ref="A136:B136"/>
    <mergeCell ref="C136:J136"/>
    <mergeCell ref="K136:L136"/>
    <mergeCell ref="A1:F1"/>
    <mergeCell ref="A7:F7"/>
    <mergeCell ref="A12:F12"/>
    <mergeCell ref="A134:B134"/>
    <mergeCell ref="C134:H134"/>
    <mergeCell ref="I134:J134"/>
    <mergeCell ref="K134:L134"/>
    <mergeCell ref="A135:B135"/>
    <mergeCell ref="C135:J135"/>
    <mergeCell ref="K135:L135"/>
    <mergeCell ref="C133:D133"/>
    <mergeCell ref="E133:F133"/>
    <mergeCell ref="G133:H133"/>
    <mergeCell ref="I133:J133"/>
    <mergeCell ref="K133:L133"/>
    <mergeCell ref="C132:D132"/>
    <mergeCell ref="E132:F132"/>
    <mergeCell ref="G132:H132"/>
    <mergeCell ref="I132:J132"/>
    <mergeCell ref="K132:L132"/>
    <mergeCell ref="A119:B119"/>
  </mergeCells>
  <pageMargins left="0.51180555555555496" right="0.51180555555555496" top="0.78749999999999998" bottom="0.78749999999999998" header="0.51180555555555496" footer="0.51180555555555496"/>
  <pageSetup paperSize="9" scale="18" firstPageNumber="0" orientation="portrait"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8962EC-A022-4931-AFF0-C5DF969A15A0}">
  <sheetPr>
    <pageSetUpPr fitToPage="1"/>
  </sheetPr>
  <dimension ref="A1:V137"/>
  <sheetViews>
    <sheetView showGridLines="0" topLeftCell="B105" zoomScaleNormal="100" workbookViewId="0">
      <selection activeCell="I110" sqref="I110"/>
    </sheetView>
  </sheetViews>
  <sheetFormatPr defaultRowHeight="14.5" x14ac:dyDescent="0.35"/>
  <cols>
    <col min="1" max="1" width="12.26953125" customWidth="1"/>
    <col min="2" max="2" width="54.81640625" customWidth="1"/>
    <col min="3" max="3" width="13.7265625" customWidth="1"/>
    <col min="4" max="4" width="17.7265625" customWidth="1"/>
    <col min="5" max="5" width="13.7265625" customWidth="1"/>
    <col min="6" max="6" width="17.7265625" customWidth="1"/>
    <col min="7" max="7" width="13.7265625" customWidth="1"/>
    <col min="8" max="8" width="17.7265625" customWidth="1"/>
    <col min="9" max="9" width="13.7265625" customWidth="1"/>
    <col min="10" max="10" width="17.7265625" customWidth="1"/>
    <col min="11" max="11" width="13.7265625" customWidth="1"/>
    <col min="12" max="12" width="17.7265625" customWidth="1"/>
    <col min="13" max="13" width="13.7265625" customWidth="1"/>
    <col min="14" max="20" width="17.7265625" customWidth="1"/>
    <col min="21" max="21" width="13.7265625" customWidth="1"/>
    <col min="22" max="22" width="17.7265625" customWidth="1"/>
    <col min="23" max="23" width="13.7265625" customWidth="1"/>
    <col min="24" max="24" width="17.7265625" customWidth="1"/>
    <col min="25" max="25" width="13.7265625" customWidth="1"/>
    <col min="26" max="26" width="17.7265625" customWidth="1"/>
    <col min="27" max="27" width="13.7265625" customWidth="1"/>
    <col min="28" max="28" width="17.7265625" customWidth="1"/>
    <col min="29" max="33" width="8.7265625" customWidth="1"/>
    <col min="35" max="1029" width="8.7265625" customWidth="1"/>
  </cols>
  <sheetData>
    <row r="1" spans="1:8" x14ac:dyDescent="0.35">
      <c r="A1" s="113" t="s">
        <v>218</v>
      </c>
      <c r="B1" s="114"/>
      <c r="C1" s="114"/>
      <c r="D1" s="114"/>
      <c r="E1" s="114"/>
      <c r="F1" s="114"/>
      <c r="G1" s="114"/>
      <c r="H1" s="115"/>
    </row>
    <row r="2" spans="1:8" x14ac:dyDescent="0.35">
      <c r="A2" s="29" t="s">
        <v>0</v>
      </c>
      <c r="B2" s="27" t="s">
        <v>219</v>
      </c>
      <c r="C2" s="118" t="s">
        <v>233</v>
      </c>
      <c r="D2" s="119" t="s">
        <v>232</v>
      </c>
      <c r="E2" s="118" t="s">
        <v>233</v>
      </c>
      <c r="F2" s="119" t="s">
        <v>235</v>
      </c>
      <c r="G2" s="118" t="s">
        <v>233</v>
      </c>
      <c r="H2" s="119" t="s">
        <v>235</v>
      </c>
    </row>
    <row r="3" spans="1:8" x14ac:dyDescent="0.35">
      <c r="A3" s="29" t="s">
        <v>1</v>
      </c>
      <c r="B3" s="27" t="s">
        <v>220</v>
      </c>
      <c r="C3" s="97" t="s">
        <v>234</v>
      </c>
      <c r="D3" s="99" t="s">
        <v>234</v>
      </c>
      <c r="E3" s="97" t="s">
        <v>234</v>
      </c>
      <c r="F3" s="99" t="s">
        <v>234</v>
      </c>
      <c r="G3" s="97" t="s">
        <v>234</v>
      </c>
      <c r="H3" s="99" t="s">
        <v>234</v>
      </c>
    </row>
    <row r="4" spans="1:8" x14ac:dyDescent="0.35">
      <c r="A4" s="29" t="s">
        <v>2</v>
      </c>
      <c r="B4" s="27" t="s">
        <v>221</v>
      </c>
      <c r="C4" s="118">
        <v>2024</v>
      </c>
      <c r="D4" s="119"/>
      <c r="E4" s="118">
        <v>2024</v>
      </c>
      <c r="F4" s="119"/>
      <c r="G4" s="118">
        <v>2024</v>
      </c>
      <c r="H4" s="119"/>
    </row>
    <row r="5" spans="1:8" x14ac:dyDescent="0.35">
      <c r="A5" s="29" t="s">
        <v>3</v>
      </c>
      <c r="B5" s="27" t="s">
        <v>222</v>
      </c>
      <c r="C5" s="118">
        <v>12</v>
      </c>
      <c r="D5" s="119"/>
      <c r="E5" s="118">
        <v>12</v>
      </c>
      <c r="F5" s="119"/>
      <c r="G5" s="118">
        <v>12</v>
      </c>
      <c r="H5" s="119"/>
    </row>
    <row r="7" spans="1:8" ht="14.5" customHeight="1" x14ac:dyDescent="0.35">
      <c r="A7" s="113" t="s">
        <v>223</v>
      </c>
      <c r="B7" s="114"/>
      <c r="C7" s="114"/>
      <c r="D7" s="114"/>
      <c r="E7" s="114"/>
      <c r="F7" s="114"/>
      <c r="G7" s="114"/>
      <c r="H7" s="115"/>
    </row>
    <row r="8" spans="1:8" x14ac:dyDescent="0.35">
      <c r="A8" s="29">
        <v>1</v>
      </c>
      <c r="B8" s="36" t="s">
        <v>224</v>
      </c>
      <c r="C8" s="97" t="s">
        <v>214</v>
      </c>
      <c r="D8" s="99"/>
      <c r="E8" s="97" t="s">
        <v>191</v>
      </c>
      <c r="F8" s="99"/>
      <c r="G8" s="97" t="s">
        <v>312</v>
      </c>
      <c r="H8" s="99"/>
    </row>
    <row r="9" spans="1:8" x14ac:dyDescent="0.35">
      <c r="A9" s="29" t="s">
        <v>0</v>
      </c>
      <c r="B9" s="27" t="s">
        <v>225</v>
      </c>
      <c r="C9" s="118" t="s">
        <v>236</v>
      </c>
      <c r="D9" s="119"/>
      <c r="E9" s="118" t="s">
        <v>236</v>
      </c>
      <c r="F9" s="119"/>
      <c r="G9" s="118" t="s">
        <v>236</v>
      </c>
      <c r="H9" s="119"/>
    </row>
    <row r="10" spans="1:8" x14ac:dyDescent="0.35">
      <c r="A10" s="29" t="s">
        <v>1</v>
      </c>
      <c r="B10" s="27" t="s">
        <v>226</v>
      </c>
      <c r="C10" s="118">
        <v>1</v>
      </c>
      <c r="D10" s="119"/>
      <c r="E10" s="118">
        <v>1</v>
      </c>
      <c r="F10" s="119"/>
      <c r="G10" s="118">
        <v>1</v>
      </c>
      <c r="H10" s="119"/>
    </row>
    <row r="11" spans="1:8" x14ac:dyDescent="0.35">
      <c r="A11" s="14"/>
      <c r="C11" s="61"/>
      <c r="D11" s="62"/>
      <c r="E11" s="61"/>
      <c r="F11" s="62"/>
      <c r="G11" s="62"/>
      <c r="H11" s="62"/>
    </row>
    <row r="12" spans="1:8" ht="14.5" customHeight="1" x14ac:dyDescent="0.35">
      <c r="A12" s="113" t="s">
        <v>231</v>
      </c>
      <c r="B12" s="114"/>
      <c r="C12" s="114"/>
      <c r="D12" s="114"/>
      <c r="E12" s="114"/>
      <c r="F12" s="114"/>
      <c r="G12" s="114"/>
      <c r="H12" s="115"/>
    </row>
    <row r="13" spans="1:8" x14ac:dyDescent="0.35">
      <c r="A13" s="29">
        <v>1</v>
      </c>
      <c r="B13" s="27" t="s">
        <v>227</v>
      </c>
      <c r="C13" s="135" t="s">
        <v>214</v>
      </c>
      <c r="D13" s="136"/>
      <c r="E13" s="135" t="s">
        <v>191</v>
      </c>
      <c r="F13" s="136"/>
      <c r="G13" s="135" t="s">
        <v>312</v>
      </c>
      <c r="H13" s="136"/>
    </row>
    <row r="14" spans="1:8" x14ac:dyDescent="0.35">
      <c r="A14" s="29">
        <v>2</v>
      </c>
      <c r="B14" s="27" t="s">
        <v>228</v>
      </c>
      <c r="C14" s="118" t="s">
        <v>239</v>
      </c>
      <c r="D14" s="119"/>
      <c r="E14" s="118" t="s">
        <v>240</v>
      </c>
      <c r="F14" s="119"/>
      <c r="G14" s="118" t="s">
        <v>311</v>
      </c>
      <c r="H14" s="119"/>
    </row>
    <row r="15" spans="1:8" x14ac:dyDescent="0.35">
      <c r="A15" s="29">
        <v>3</v>
      </c>
      <c r="B15" s="27" t="s">
        <v>229</v>
      </c>
      <c r="C15" s="120">
        <v>1629.62</v>
      </c>
      <c r="D15" s="121"/>
      <c r="E15" s="120">
        <v>1629.62</v>
      </c>
      <c r="F15" s="121"/>
      <c r="G15" s="120">
        <v>2405.96</v>
      </c>
      <c r="H15" s="136"/>
    </row>
    <row r="16" spans="1:8" x14ac:dyDescent="0.35">
      <c r="A16" s="29">
        <v>4</v>
      </c>
      <c r="B16" s="27" t="s">
        <v>230</v>
      </c>
      <c r="C16" s="118" t="s">
        <v>237</v>
      </c>
      <c r="D16" s="119"/>
      <c r="E16" s="118" t="s">
        <v>237</v>
      </c>
      <c r="F16" s="119"/>
      <c r="G16" s="118" t="s">
        <v>237</v>
      </c>
      <c r="H16" s="119"/>
    </row>
    <row r="17" spans="1:9" x14ac:dyDescent="0.35">
      <c r="A17" s="29">
        <v>5</v>
      </c>
      <c r="B17" s="27" t="s">
        <v>238</v>
      </c>
      <c r="C17" s="122">
        <v>45301</v>
      </c>
      <c r="D17" s="119"/>
      <c r="E17" s="122">
        <v>45301</v>
      </c>
      <c r="F17" s="119"/>
      <c r="G17" s="122">
        <v>45301</v>
      </c>
      <c r="H17" s="119"/>
    </row>
    <row r="19" spans="1:9" ht="40" customHeight="1" x14ac:dyDescent="0.35">
      <c r="A19" s="117" t="s">
        <v>4</v>
      </c>
      <c r="B19" s="117"/>
      <c r="C19" s="96" t="s">
        <v>214</v>
      </c>
      <c r="D19" s="96"/>
      <c r="E19" s="96" t="s">
        <v>191</v>
      </c>
      <c r="F19" s="96"/>
      <c r="G19" s="96" t="s">
        <v>312</v>
      </c>
      <c r="H19" s="96"/>
    </row>
    <row r="20" spans="1:9" x14ac:dyDescent="0.35">
      <c r="A20" s="29">
        <v>1</v>
      </c>
      <c r="B20" s="29" t="s">
        <v>5</v>
      </c>
      <c r="C20" s="29"/>
      <c r="D20" s="29" t="s">
        <v>6</v>
      </c>
      <c r="E20" s="29"/>
      <c r="F20" s="29" t="s">
        <v>6</v>
      </c>
      <c r="G20" s="29"/>
      <c r="H20" s="29" t="s">
        <v>6</v>
      </c>
    </row>
    <row r="21" spans="1:9" x14ac:dyDescent="0.35">
      <c r="A21" s="29" t="s">
        <v>0</v>
      </c>
      <c r="B21" s="27" t="s">
        <v>7</v>
      </c>
      <c r="C21" s="2"/>
      <c r="D21" s="3">
        <f>C15</f>
        <v>1629.62</v>
      </c>
      <c r="E21" s="2"/>
      <c r="F21" s="3">
        <f>E15</f>
        <v>1629.62</v>
      </c>
      <c r="G21" s="2"/>
      <c r="H21" s="3">
        <v>2405.96</v>
      </c>
      <c r="I21" t="s">
        <v>137</v>
      </c>
    </row>
    <row r="22" spans="1:9" x14ac:dyDescent="0.35">
      <c r="A22" s="29" t="s">
        <v>1</v>
      </c>
      <c r="B22" s="27" t="s">
        <v>96</v>
      </c>
      <c r="C22" s="2"/>
      <c r="D22" s="3"/>
      <c r="E22" s="2"/>
      <c r="F22" s="3"/>
      <c r="G22" s="2"/>
      <c r="H22" s="3"/>
      <c r="I22" t="s">
        <v>198</v>
      </c>
    </row>
    <row r="23" spans="1:9" x14ac:dyDescent="0.35">
      <c r="A23" s="29" t="s">
        <v>2</v>
      </c>
      <c r="B23" s="27" t="s">
        <v>212</v>
      </c>
      <c r="C23" s="2"/>
      <c r="D23" s="3"/>
      <c r="E23" s="2"/>
      <c r="F23" s="3"/>
      <c r="G23" s="2"/>
      <c r="H23" s="3"/>
      <c r="I23" t="s">
        <v>210</v>
      </c>
    </row>
    <row r="24" spans="1:9" x14ac:dyDescent="0.35">
      <c r="A24" s="29" t="s">
        <v>3</v>
      </c>
      <c r="B24" s="27" t="s">
        <v>213</v>
      </c>
      <c r="C24" s="2"/>
      <c r="D24" s="3"/>
      <c r="E24" s="2"/>
      <c r="F24" s="3"/>
      <c r="G24" s="2"/>
      <c r="H24" s="3"/>
      <c r="I24" t="s">
        <v>211</v>
      </c>
    </row>
    <row r="25" spans="1:9" x14ac:dyDescent="0.35">
      <c r="A25" s="116" t="s">
        <v>9</v>
      </c>
      <c r="B25" s="116"/>
      <c r="C25" s="27"/>
      <c r="D25" s="4">
        <f>SUM(D21:D24)</f>
        <v>1629.62</v>
      </c>
      <c r="E25" s="27"/>
      <c r="F25" s="4">
        <f>SUM(F21:F24)</f>
        <v>1629.62</v>
      </c>
      <c r="G25" s="27"/>
      <c r="H25" s="4">
        <f>SUM(H21:H24)</f>
        <v>2405.96</v>
      </c>
    </row>
    <row r="27" spans="1:9" ht="15" customHeight="1" x14ac:dyDescent="0.35"/>
    <row r="28" spans="1:9" ht="40" customHeight="1" x14ac:dyDescent="0.35">
      <c r="A28" s="117" t="s">
        <v>10</v>
      </c>
      <c r="B28" s="117"/>
      <c r="C28" s="96" t="str">
        <f>$C$19</f>
        <v>Copeiragem</v>
      </c>
      <c r="D28" s="96"/>
      <c r="E28" s="96" t="str">
        <f>$E$19</f>
        <v>Carregador</v>
      </c>
      <c r="F28" s="96"/>
      <c r="G28" s="96" t="str">
        <f>$G$19</f>
        <v>Garçom</v>
      </c>
      <c r="H28" s="96"/>
    </row>
    <row r="29" spans="1:9" x14ac:dyDescent="0.35">
      <c r="A29" s="29" t="s">
        <v>11</v>
      </c>
      <c r="B29" s="29" t="s">
        <v>12</v>
      </c>
      <c r="C29" s="29" t="s">
        <v>13</v>
      </c>
      <c r="D29" s="29" t="s">
        <v>6</v>
      </c>
      <c r="E29" s="29" t="s">
        <v>13</v>
      </c>
      <c r="F29" s="29" t="s">
        <v>6</v>
      </c>
      <c r="G29" s="29" t="s">
        <v>13</v>
      </c>
      <c r="H29" s="29" t="s">
        <v>6</v>
      </c>
      <c r="I29" t="s">
        <v>138</v>
      </c>
    </row>
    <row r="30" spans="1:9" x14ac:dyDescent="0.35">
      <c r="A30" s="29" t="s">
        <v>0</v>
      </c>
      <c r="B30" s="27" t="s">
        <v>14</v>
      </c>
      <c r="C30" s="5">
        <f>1/12</f>
        <v>8.3333333333333329E-2</v>
      </c>
      <c r="D30" s="3">
        <f>ROUND(C30*D25,2)</f>
        <v>135.80000000000001</v>
      </c>
      <c r="E30" s="5">
        <f>1/12</f>
        <v>8.3333333333333329E-2</v>
      </c>
      <c r="F30" s="3">
        <f>ROUND(E30*F25,2)</f>
        <v>135.80000000000001</v>
      </c>
      <c r="G30" s="5">
        <f>1/12</f>
        <v>8.3333333333333329E-2</v>
      </c>
      <c r="H30" s="3">
        <f>ROUND(G30*H25,2)</f>
        <v>200.5</v>
      </c>
      <c r="I30" t="s">
        <v>139</v>
      </c>
    </row>
    <row r="31" spans="1:9" x14ac:dyDescent="0.35">
      <c r="A31" s="29" t="s">
        <v>1</v>
      </c>
      <c r="B31" s="27" t="s">
        <v>197</v>
      </c>
      <c r="C31" s="5">
        <f>(1/12)+(1/3/12)</f>
        <v>0.1111111111111111</v>
      </c>
      <c r="D31" s="3">
        <f>ROUND(C31*D25,2)</f>
        <v>181.07</v>
      </c>
      <c r="E31" s="5">
        <f>(1/12)+(1/3/12)</f>
        <v>0.1111111111111111</v>
      </c>
      <c r="F31" s="3">
        <f>ROUND(E31*F25,2)</f>
        <v>181.07</v>
      </c>
      <c r="G31" s="5">
        <f>(1/12)+(1/3/12)</f>
        <v>0.1111111111111111</v>
      </c>
      <c r="H31" s="3">
        <f>ROUND(G31*H25,2)</f>
        <v>267.33</v>
      </c>
    </row>
    <row r="32" spans="1:9" x14ac:dyDescent="0.35">
      <c r="A32" s="116" t="s">
        <v>9</v>
      </c>
      <c r="B32" s="116"/>
      <c r="C32" s="30">
        <f t="shared" ref="C32:F32" si="0">SUM(C30:C31)</f>
        <v>0.19444444444444442</v>
      </c>
      <c r="D32" s="4">
        <f t="shared" si="0"/>
        <v>316.87</v>
      </c>
      <c r="E32" s="30">
        <f t="shared" si="0"/>
        <v>0.19444444444444442</v>
      </c>
      <c r="F32" s="4">
        <f t="shared" si="0"/>
        <v>316.87</v>
      </c>
      <c r="G32" s="30">
        <f t="shared" ref="G32:H32" si="1">SUM(G30:G31)</f>
        <v>0.19444444444444442</v>
      </c>
      <c r="H32" s="4">
        <f t="shared" si="1"/>
        <v>467.83</v>
      </c>
    </row>
    <row r="34" spans="1:9" ht="15" customHeight="1" x14ac:dyDescent="0.35"/>
    <row r="35" spans="1:9" ht="40" customHeight="1" x14ac:dyDescent="0.35">
      <c r="A35" s="96" t="s">
        <v>15</v>
      </c>
      <c r="B35" s="96"/>
      <c r="C35" s="96" t="str">
        <f>$C$19</f>
        <v>Copeiragem</v>
      </c>
      <c r="D35" s="96"/>
      <c r="E35" s="96" t="str">
        <f>$E$19</f>
        <v>Carregador</v>
      </c>
      <c r="F35" s="96"/>
      <c r="G35" s="96" t="str">
        <f>$G$19</f>
        <v>Garçom</v>
      </c>
      <c r="H35" s="96"/>
    </row>
    <row r="36" spans="1:9" x14ac:dyDescent="0.35">
      <c r="A36" s="29" t="s">
        <v>16</v>
      </c>
      <c r="B36" s="29" t="s">
        <v>17</v>
      </c>
      <c r="C36" s="29" t="s">
        <v>13</v>
      </c>
      <c r="D36" s="29" t="s">
        <v>6</v>
      </c>
      <c r="E36" s="29" t="s">
        <v>13</v>
      </c>
      <c r="F36" s="29" t="s">
        <v>6</v>
      </c>
      <c r="G36" s="29" t="s">
        <v>13</v>
      </c>
      <c r="H36" s="29" t="s">
        <v>6</v>
      </c>
      <c r="I36" t="s">
        <v>140</v>
      </c>
    </row>
    <row r="37" spans="1:9" x14ac:dyDescent="0.35">
      <c r="A37" s="29" t="s">
        <v>0</v>
      </c>
      <c r="B37" s="27" t="s">
        <v>18</v>
      </c>
      <c r="C37" s="6">
        <v>0.2</v>
      </c>
      <c r="D37" s="3">
        <f t="shared" ref="D37:D44" si="2">(C37*($D$32+$D$25))</f>
        <v>389.298</v>
      </c>
      <c r="E37" s="6">
        <v>0.2</v>
      </c>
      <c r="F37" s="3">
        <f t="shared" ref="F37:F44" si="3">E37*($F$32+$F$25)</f>
        <v>389.298</v>
      </c>
      <c r="G37" s="6">
        <v>0.2</v>
      </c>
      <c r="H37" s="3">
        <f t="shared" ref="H37:H44" si="4">G37*($H$32+$H$25)</f>
        <v>574.75800000000004</v>
      </c>
      <c r="I37" t="s">
        <v>141</v>
      </c>
    </row>
    <row r="38" spans="1:9" x14ac:dyDescent="0.35">
      <c r="A38" s="29" t="s">
        <v>1</v>
      </c>
      <c r="B38" s="27" t="s">
        <v>19</v>
      </c>
      <c r="C38" s="6">
        <v>2.5000000000000001E-2</v>
      </c>
      <c r="D38" s="3">
        <f t="shared" si="2"/>
        <v>48.66225</v>
      </c>
      <c r="E38" s="6">
        <v>2.5000000000000001E-2</v>
      </c>
      <c r="F38" s="3">
        <f t="shared" si="3"/>
        <v>48.66225</v>
      </c>
      <c r="G38" s="6">
        <v>2.5000000000000001E-2</v>
      </c>
      <c r="H38" s="3">
        <f t="shared" si="4"/>
        <v>71.844750000000005</v>
      </c>
      <c r="I38" t="s">
        <v>142</v>
      </c>
    </row>
    <row r="39" spans="1:9" x14ac:dyDescent="0.35">
      <c r="A39" s="29" t="s">
        <v>2</v>
      </c>
      <c r="B39" s="27" t="s">
        <v>20</v>
      </c>
      <c r="C39" s="6">
        <v>0.03</v>
      </c>
      <c r="D39" s="3">
        <f t="shared" si="2"/>
        <v>58.394699999999993</v>
      </c>
      <c r="E39" s="6">
        <v>0.03</v>
      </c>
      <c r="F39" s="3">
        <f t="shared" si="3"/>
        <v>58.394699999999993</v>
      </c>
      <c r="G39" s="6">
        <v>0.03</v>
      </c>
      <c r="H39" s="3">
        <f t="shared" si="4"/>
        <v>86.213699999999989</v>
      </c>
      <c r="I39" t="s">
        <v>143</v>
      </c>
    </row>
    <row r="40" spans="1:9" x14ac:dyDescent="0.35">
      <c r="A40" s="29" t="s">
        <v>3</v>
      </c>
      <c r="B40" s="27" t="s">
        <v>21</v>
      </c>
      <c r="C40" s="6">
        <v>1.4999999999999999E-2</v>
      </c>
      <c r="D40" s="3">
        <f t="shared" si="2"/>
        <v>29.197349999999997</v>
      </c>
      <c r="E40" s="6">
        <v>1.4999999999999999E-2</v>
      </c>
      <c r="F40" s="3">
        <f t="shared" si="3"/>
        <v>29.197349999999997</v>
      </c>
      <c r="G40" s="6">
        <v>1.4999999999999999E-2</v>
      </c>
      <c r="H40" s="3">
        <f t="shared" si="4"/>
        <v>43.106849999999994</v>
      </c>
      <c r="I40" t="s">
        <v>144</v>
      </c>
    </row>
    <row r="41" spans="1:9" x14ac:dyDescent="0.35">
      <c r="A41" s="29" t="s">
        <v>22</v>
      </c>
      <c r="B41" s="27" t="s">
        <v>23</v>
      </c>
      <c r="C41" s="6">
        <v>0.01</v>
      </c>
      <c r="D41" s="3">
        <f t="shared" si="2"/>
        <v>19.464899999999997</v>
      </c>
      <c r="E41" s="6">
        <v>0.01</v>
      </c>
      <c r="F41" s="3">
        <f t="shared" si="3"/>
        <v>19.464899999999997</v>
      </c>
      <c r="G41" s="6">
        <v>0.01</v>
      </c>
      <c r="H41" s="3">
        <f t="shared" si="4"/>
        <v>28.7379</v>
      </c>
      <c r="I41" t="s">
        <v>145</v>
      </c>
    </row>
    <row r="42" spans="1:9" x14ac:dyDescent="0.35">
      <c r="A42" s="29" t="s">
        <v>24</v>
      </c>
      <c r="B42" s="27" t="s">
        <v>25</v>
      </c>
      <c r="C42" s="6">
        <v>6.0000000000000001E-3</v>
      </c>
      <c r="D42" s="3">
        <f t="shared" si="2"/>
        <v>11.678939999999999</v>
      </c>
      <c r="E42" s="6">
        <v>6.0000000000000001E-3</v>
      </c>
      <c r="F42" s="3">
        <f t="shared" si="3"/>
        <v>11.678939999999999</v>
      </c>
      <c r="G42" s="6">
        <v>6.0000000000000001E-3</v>
      </c>
      <c r="H42" s="3">
        <f t="shared" si="4"/>
        <v>17.242740000000001</v>
      </c>
      <c r="I42" t="s">
        <v>146</v>
      </c>
    </row>
    <row r="43" spans="1:9" x14ac:dyDescent="0.35">
      <c r="A43" s="29" t="s">
        <v>26</v>
      </c>
      <c r="B43" s="27" t="s">
        <v>27</v>
      </c>
      <c r="C43" s="6">
        <v>2E-3</v>
      </c>
      <c r="D43" s="3">
        <f t="shared" si="2"/>
        <v>3.8929799999999997</v>
      </c>
      <c r="E43" s="6">
        <v>2E-3</v>
      </c>
      <c r="F43" s="3">
        <f t="shared" si="3"/>
        <v>3.8929799999999997</v>
      </c>
      <c r="G43" s="6">
        <v>2E-3</v>
      </c>
      <c r="H43" s="3">
        <f t="shared" si="4"/>
        <v>5.7475800000000001</v>
      </c>
      <c r="I43" t="s">
        <v>147</v>
      </c>
    </row>
    <row r="44" spans="1:9" x14ac:dyDescent="0.35">
      <c r="A44" s="29" t="s">
        <v>28</v>
      </c>
      <c r="B44" s="27" t="s">
        <v>29</v>
      </c>
      <c r="C44" s="6">
        <v>0.08</v>
      </c>
      <c r="D44" s="3">
        <f t="shared" si="2"/>
        <v>155.71919999999997</v>
      </c>
      <c r="E44" s="6">
        <v>0.08</v>
      </c>
      <c r="F44" s="3">
        <f t="shared" si="3"/>
        <v>155.71919999999997</v>
      </c>
      <c r="G44" s="6">
        <v>0.08</v>
      </c>
      <c r="H44" s="3">
        <f t="shared" si="4"/>
        <v>229.9032</v>
      </c>
    </row>
    <row r="45" spans="1:9" x14ac:dyDescent="0.35">
      <c r="A45" s="116" t="s">
        <v>9</v>
      </c>
      <c r="B45" s="116"/>
      <c r="C45" s="6">
        <f>SUM(C37:C44)</f>
        <v>0.36800000000000005</v>
      </c>
      <c r="D45" s="4">
        <f>(ROUND(SUM(D37:D44),2))</f>
        <v>716.31</v>
      </c>
      <c r="E45" s="6">
        <f>SUM(E37:E44)</f>
        <v>0.36800000000000005</v>
      </c>
      <c r="F45" s="4">
        <f>(ROUND(SUM(F37:F44),2))</f>
        <v>716.31</v>
      </c>
      <c r="G45" s="6">
        <f>SUM(G37:G44)</f>
        <v>0.36800000000000005</v>
      </c>
      <c r="H45" s="4">
        <f>(ROUND(SUM(H37:H44),2))</f>
        <v>1057.55</v>
      </c>
    </row>
    <row r="47" spans="1:9" ht="15" customHeight="1" x14ac:dyDescent="0.35"/>
    <row r="48" spans="1:9" ht="40" customHeight="1" x14ac:dyDescent="0.35">
      <c r="A48" s="96" t="s">
        <v>30</v>
      </c>
      <c r="B48" s="96"/>
      <c r="C48" s="96" t="str">
        <f>$C$19</f>
        <v>Copeiragem</v>
      </c>
      <c r="D48" s="96"/>
      <c r="E48" s="96" t="str">
        <f>$E$19</f>
        <v>Carregador</v>
      </c>
      <c r="F48" s="96"/>
      <c r="G48" s="96" t="str">
        <f>$G$19</f>
        <v>Garçom</v>
      </c>
      <c r="H48" s="96"/>
    </row>
    <row r="49" spans="1:9" ht="29" x14ac:dyDescent="0.35">
      <c r="A49" s="29" t="s">
        <v>31</v>
      </c>
      <c r="B49" s="29" t="s">
        <v>32</v>
      </c>
      <c r="C49" s="20" t="s">
        <v>33</v>
      </c>
      <c r="D49" s="29" t="s">
        <v>6</v>
      </c>
      <c r="E49" s="20" t="s">
        <v>33</v>
      </c>
      <c r="F49" s="29" t="s">
        <v>6</v>
      </c>
      <c r="G49" s="20" t="s">
        <v>33</v>
      </c>
      <c r="H49" s="29" t="s">
        <v>6</v>
      </c>
      <c r="I49" t="s">
        <v>148</v>
      </c>
    </row>
    <row r="50" spans="1:9" x14ac:dyDescent="0.35">
      <c r="A50" s="29" t="s">
        <v>0</v>
      </c>
      <c r="B50" s="27" t="s">
        <v>34</v>
      </c>
      <c r="C50" s="31">
        <v>5.5</v>
      </c>
      <c r="D50" s="3">
        <f>ROUND(IF((C50*2*21)-(D21*6%)&gt;=0,(C50*2*21)-(D21*6%),0),2)</f>
        <v>133.22</v>
      </c>
      <c r="E50" s="31">
        <v>5.5</v>
      </c>
      <c r="F50" s="3">
        <f>ROUND(IF((E50*2*21)-(F21*6%)&gt;=0,(E50*2*21)-(F21*6%),0),2)</f>
        <v>133.22</v>
      </c>
      <c r="G50" s="31">
        <v>5.5</v>
      </c>
      <c r="H50" s="3">
        <f>ROUND(IF((G50*2*21)-(H21*6%)&gt;=0,(G50*2*21)-(H21*6%),0),2)</f>
        <v>86.64</v>
      </c>
    </row>
    <row r="51" spans="1:9" x14ac:dyDescent="0.35">
      <c r="A51" s="123" t="s">
        <v>1</v>
      </c>
      <c r="B51" s="124" t="s">
        <v>35</v>
      </c>
      <c r="C51" s="10" t="s">
        <v>36</v>
      </c>
      <c r="D51" s="3"/>
      <c r="E51" s="10" t="s">
        <v>36</v>
      </c>
      <c r="F51" s="3"/>
      <c r="G51" s="10" t="s">
        <v>36</v>
      </c>
      <c r="H51" s="3"/>
      <c r="I51" t="s">
        <v>149</v>
      </c>
    </row>
    <row r="52" spans="1:9" x14ac:dyDescent="0.35">
      <c r="A52" s="123"/>
      <c r="B52" s="124"/>
      <c r="C52" s="31">
        <v>42.2</v>
      </c>
      <c r="D52" s="3">
        <f>(C52*21)</f>
        <v>886.2</v>
      </c>
      <c r="E52" s="31">
        <v>42.2</v>
      </c>
      <c r="F52" s="3">
        <f>(E52*21)</f>
        <v>886.2</v>
      </c>
      <c r="G52" s="31">
        <v>42.2</v>
      </c>
      <c r="H52" s="3">
        <f>(G52*21)</f>
        <v>886.2</v>
      </c>
    </row>
    <row r="53" spans="1:9" x14ac:dyDescent="0.35">
      <c r="A53" s="29" t="s">
        <v>2</v>
      </c>
      <c r="B53" s="27" t="s">
        <v>8</v>
      </c>
      <c r="C53" s="6"/>
      <c r="D53" s="29"/>
      <c r="E53" s="6"/>
      <c r="F53" s="29"/>
      <c r="G53" s="6"/>
      <c r="H53" s="29"/>
    </row>
    <row r="54" spans="1:9" x14ac:dyDescent="0.35">
      <c r="A54" s="116" t="s">
        <v>9</v>
      </c>
      <c r="B54" s="116"/>
      <c r="C54" s="27"/>
      <c r="D54" s="4">
        <f>ROUND(SUM(D50:D53),2)</f>
        <v>1019.42</v>
      </c>
      <c r="E54" s="27"/>
      <c r="F54" s="4">
        <f>ROUND(SUM(F50:F53),2)</f>
        <v>1019.42</v>
      </c>
      <c r="G54" s="27"/>
      <c r="H54" s="4">
        <f>ROUND(SUM(H50:H53),2)</f>
        <v>972.84</v>
      </c>
    </row>
    <row r="56" spans="1:9" ht="15" customHeight="1" x14ac:dyDescent="0.35"/>
    <row r="57" spans="1:9" ht="40" customHeight="1" x14ac:dyDescent="0.35">
      <c r="A57" s="96" t="s">
        <v>37</v>
      </c>
      <c r="B57" s="96"/>
      <c r="C57" s="96" t="str">
        <f>$C$19</f>
        <v>Copeiragem</v>
      </c>
      <c r="D57" s="96"/>
      <c r="E57" s="96" t="str">
        <f>$E$19</f>
        <v>Carregador</v>
      </c>
      <c r="F57" s="96"/>
      <c r="G57" s="96" t="str">
        <f>$G$19</f>
        <v>Garçom</v>
      </c>
      <c r="H57" s="96"/>
    </row>
    <row r="58" spans="1:9" x14ac:dyDescent="0.35">
      <c r="A58" s="29">
        <v>2</v>
      </c>
      <c r="B58" s="29" t="s">
        <v>32</v>
      </c>
      <c r="C58" s="29"/>
      <c r="D58" s="29" t="s">
        <v>6</v>
      </c>
      <c r="E58" s="29"/>
      <c r="F58" s="29" t="s">
        <v>6</v>
      </c>
      <c r="G58" s="29"/>
      <c r="H58" s="29" t="s">
        <v>6</v>
      </c>
    </row>
    <row r="59" spans="1:9" x14ac:dyDescent="0.35">
      <c r="A59" s="29" t="s">
        <v>11</v>
      </c>
      <c r="B59" s="27" t="s">
        <v>38</v>
      </c>
      <c r="C59" s="6"/>
      <c r="D59" s="3">
        <f>D32</f>
        <v>316.87</v>
      </c>
      <c r="E59" s="7"/>
      <c r="F59" s="3">
        <f>F32</f>
        <v>316.87</v>
      </c>
      <c r="G59" s="7"/>
      <c r="H59" s="3">
        <f>H32</f>
        <v>467.83</v>
      </c>
    </row>
    <row r="60" spans="1:9" x14ac:dyDescent="0.35">
      <c r="A60" s="29" t="s">
        <v>16</v>
      </c>
      <c r="B60" s="27" t="s">
        <v>17</v>
      </c>
      <c r="C60" s="6"/>
      <c r="D60" s="28">
        <f>D45</f>
        <v>716.31</v>
      </c>
      <c r="E60" s="7"/>
      <c r="F60" s="28">
        <f>F45</f>
        <v>716.31</v>
      </c>
      <c r="G60" s="7"/>
      <c r="H60" s="28">
        <f>H45</f>
        <v>1057.55</v>
      </c>
    </row>
    <row r="61" spans="1:9" x14ac:dyDescent="0.35">
      <c r="A61" s="29" t="s">
        <v>31</v>
      </c>
      <c r="B61" s="27" t="s">
        <v>32</v>
      </c>
      <c r="C61" s="6"/>
      <c r="D61" s="28">
        <f>D54</f>
        <v>1019.42</v>
      </c>
      <c r="E61" s="7"/>
      <c r="F61" s="28">
        <f>F54</f>
        <v>1019.42</v>
      </c>
      <c r="G61" s="7"/>
      <c r="H61" s="28">
        <f>H54</f>
        <v>972.84</v>
      </c>
    </row>
    <row r="62" spans="1:9" x14ac:dyDescent="0.35">
      <c r="A62" s="116" t="s">
        <v>9</v>
      </c>
      <c r="B62" s="116"/>
      <c r="C62" s="27"/>
      <c r="D62" s="8">
        <f>SUM(D59:D61)</f>
        <v>2052.6</v>
      </c>
      <c r="E62" s="27"/>
      <c r="F62" s="4">
        <f>SUM(F59:F61)</f>
        <v>2052.6</v>
      </c>
      <c r="G62" s="27"/>
      <c r="H62" s="4">
        <f>SUM(H59:H61)</f>
        <v>2498.2199999999998</v>
      </c>
    </row>
    <row r="64" spans="1:9" ht="15" customHeight="1" x14ac:dyDescent="0.35"/>
    <row r="65" spans="1:9" ht="40" customHeight="1" x14ac:dyDescent="0.35">
      <c r="A65" s="96" t="s">
        <v>39</v>
      </c>
      <c r="B65" s="96"/>
      <c r="C65" s="96" t="str">
        <f>$C$19</f>
        <v>Copeiragem</v>
      </c>
      <c r="D65" s="96"/>
      <c r="E65" s="96" t="str">
        <f>$E$19</f>
        <v>Carregador</v>
      </c>
      <c r="F65" s="96"/>
      <c r="G65" s="96" t="str">
        <f>$G$19</f>
        <v>Garçom</v>
      </c>
      <c r="H65" s="96"/>
    </row>
    <row r="66" spans="1:9" x14ac:dyDescent="0.35">
      <c r="A66" s="29">
        <v>3</v>
      </c>
      <c r="B66" s="29" t="s">
        <v>40</v>
      </c>
      <c r="C66" s="29" t="s">
        <v>13</v>
      </c>
      <c r="D66" s="29" t="s">
        <v>6</v>
      </c>
      <c r="E66" s="29" t="s">
        <v>13</v>
      </c>
      <c r="F66" s="29" t="s">
        <v>6</v>
      </c>
      <c r="G66" s="29" t="s">
        <v>13</v>
      </c>
      <c r="H66" s="29" t="s">
        <v>6</v>
      </c>
      <c r="I66" t="s">
        <v>150</v>
      </c>
    </row>
    <row r="67" spans="1:9" x14ac:dyDescent="0.35">
      <c r="A67" s="29" t="s">
        <v>0</v>
      </c>
      <c r="B67" s="27" t="s">
        <v>41</v>
      </c>
      <c r="C67" s="5">
        <f>(1/12*5.55%)</f>
        <v>4.6249999999999998E-3</v>
      </c>
      <c r="D67" s="3">
        <f>ROUND(C67*D25,2)</f>
        <v>7.54</v>
      </c>
      <c r="E67" s="5">
        <f>(1/12*5.55%)</f>
        <v>4.6249999999999998E-3</v>
      </c>
      <c r="F67" s="3">
        <f>ROUND(E67*F25,2)</f>
        <v>7.54</v>
      </c>
      <c r="G67" s="5">
        <f>(1/12*5.55%)</f>
        <v>4.6249999999999998E-3</v>
      </c>
      <c r="H67" s="3">
        <f>ROUND(G67*H25,2)</f>
        <v>11.13</v>
      </c>
    </row>
    <row r="68" spans="1:9" x14ac:dyDescent="0.35">
      <c r="A68" s="29" t="s">
        <v>1</v>
      </c>
      <c r="B68" s="27" t="s">
        <v>42</v>
      </c>
      <c r="C68" s="5">
        <v>0.08</v>
      </c>
      <c r="D68" s="3">
        <f>C68*D67</f>
        <v>0.60320000000000007</v>
      </c>
      <c r="E68" s="5">
        <v>0.08</v>
      </c>
      <c r="F68" s="3">
        <f>E68*F67</f>
        <v>0.60320000000000007</v>
      </c>
      <c r="G68" s="5">
        <v>0.08</v>
      </c>
      <c r="H68" s="3">
        <f>G68*H67</f>
        <v>0.89040000000000008</v>
      </c>
      <c r="I68" t="s">
        <v>151</v>
      </c>
    </row>
    <row r="69" spans="1:9" x14ac:dyDescent="0.35">
      <c r="A69" s="29" t="s">
        <v>2</v>
      </c>
      <c r="B69" s="27" t="s">
        <v>43</v>
      </c>
      <c r="C69" s="5">
        <f>(7/30)/12</f>
        <v>1.9444444444444445E-2</v>
      </c>
      <c r="D69" s="3">
        <f>C69*D25</f>
        <v>31.687055555555553</v>
      </c>
      <c r="E69" s="5">
        <f>(7/30)/12</f>
        <v>1.9444444444444445E-2</v>
      </c>
      <c r="F69" s="3">
        <f>E69*F25</f>
        <v>31.687055555555553</v>
      </c>
      <c r="G69" s="5">
        <f>(7/30)/12</f>
        <v>1.9444444444444445E-2</v>
      </c>
      <c r="H69" s="3">
        <f>G69*H25</f>
        <v>46.782555555555554</v>
      </c>
    </row>
    <row r="70" spans="1:9" x14ac:dyDescent="0.35">
      <c r="A70" s="32" t="s">
        <v>3</v>
      </c>
      <c r="B70" s="9" t="s">
        <v>44</v>
      </c>
      <c r="C70" s="5">
        <f>C45</f>
        <v>0.36800000000000005</v>
      </c>
      <c r="D70" s="3">
        <f>C70*D69</f>
        <v>11.660836444444445</v>
      </c>
      <c r="E70" s="5">
        <f>E45</f>
        <v>0.36800000000000005</v>
      </c>
      <c r="F70" s="3">
        <f>E70*F69</f>
        <v>11.660836444444445</v>
      </c>
      <c r="G70" s="5">
        <f>G45</f>
        <v>0.36800000000000005</v>
      </c>
      <c r="H70" s="3">
        <f>G70*H69</f>
        <v>17.215980444444448</v>
      </c>
      <c r="I70" t="s">
        <v>152</v>
      </c>
    </row>
    <row r="71" spans="1:9" x14ac:dyDescent="0.35">
      <c r="A71" s="29" t="s">
        <v>22</v>
      </c>
      <c r="B71" s="27" t="s">
        <v>45</v>
      </c>
      <c r="C71" s="5">
        <v>0.04</v>
      </c>
      <c r="D71" s="3">
        <f>C71*D25</f>
        <v>65.184799999999996</v>
      </c>
      <c r="E71" s="5">
        <v>0.04</v>
      </c>
      <c r="F71" s="3">
        <f>E71*F25</f>
        <v>65.184799999999996</v>
      </c>
      <c r="G71" s="5">
        <v>0.04</v>
      </c>
      <c r="H71" s="3">
        <f>G71*H25</f>
        <v>96.238399999999999</v>
      </c>
    </row>
    <row r="72" spans="1:9" x14ac:dyDescent="0.35">
      <c r="A72" s="116" t="s">
        <v>9</v>
      </c>
      <c r="B72" s="116"/>
      <c r="C72" s="27"/>
      <c r="D72" s="4">
        <f>ROUND(SUM(D67:D71),2)</f>
        <v>116.68</v>
      </c>
      <c r="E72" s="27"/>
      <c r="F72" s="4">
        <f>ROUND(SUM(F67:F71),2)</f>
        <v>116.68</v>
      </c>
      <c r="G72" s="27"/>
      <c r="H72" s="4">
        <f>ROUND(SUM(H67:H71),2)</f>
        <v>172.26</v>
      </c>
    </row>
    <row r="74" spans="1:9" ht="15" customHeight="1" x14ac:dyDescent="0.35"/>
    <row r="75" spans="1:9" ht="40" customHeight="1" x14ac:dyDescent="0.35">
      <c r="A75" s="96" t="s">
        <v>97</v>
      </c>
      <c r="B75" s="96"/>
      <c r="C75" s="96" t="str">
        <f>$C$19</f>
        <v>Copeiragem</v>
      </c>
      <c r="D75" s="96"/>
      <c r="E75" s="96" t="str">
        <f>$E$19</f>
        <v>Carregador</v>
      </c>
      <c r="F75" s="96"/>
      <c r="G75" s="96" t="str">
        <f>$G$19</f>
        <v>Garçom</v>
      </c>
      <c r="H75" s="96"/>
    </row>
    <row r="76" spans="1:9" x14ac:dyDescent="0.35">
      <c r="A76" s="29" t="s">
        <v>46</v>
      </c>
      <c r="B76" s="29" t="s">
        <v>98</v>
      </c>
      <c r="C76" s="29" t="s">
        <v>13</v>
      </c>
      <c r="D76" s="29" t="s">
        <v>6</v>
      </c>
      <c r="E76" s="29" t="s">
        <v>13</v>
      </c>
      <c r="F76" s="29" t="s">
        <v>6</v>
      </c>
      <c r="G76" s="29" t="s">
        <v>13</v>
      </c>
      <c r="H76" s="29" t="s">
        <v>6</v>
      </c>
      <c r="I76" t="s">
        <v>153</v>
      </c>
    </row>
    <row r="77" spans="1:9" x14ac:dyDescent="0.35">
      <c r="A77" s="29" t="s">
        <v>0</v>
      </c>
      <c r="B77" s="27" t="s">
        <v>47</v>
      </c>
      <c r="C77" s="5">
        <f>12.1%-C31</f>
        <v>9.8888888888888915E-3</v>
      </c>
      <c r="D77" s="3">
        <f t="shared" ref="D77:D82" si="5">C77*($D$25+$D$59+$D$60+$D$72)</f>
        <v>27.485968888888891</v>
      </c>
      <c r="E77" s="5">
        <f>12.1%-E31</f>
        <v>9.8888888888888915E-3</v>
      </c>
      <c r="F77" s="3">
        <f t="shared" ref="F77:H82" si="6">E77*($F$25+$F$59+$F$60+$F$72)</f>
        <v>27.485968888888891</v>
      </c>
      <c r="G77" s="5">
        <f>12.1%-G31</f>
        <v>9.8888888888888915E-3</v>
      </c>
      <c r="H77" s="3">
        <f>G77*($H$25+$H$59+$H$60+$H$72)</f>
        <v>40.580044444444461</v>
      </c>
      <c r="I77" t="s">
        <v>154</v>
      </c>
    </row>
    <row r="78" spans="1:9" x14ac:dyDescent="0.35">
      <c r="A78" s="29" t="s">
        <v>1</v>
      </c>
      <c r="B78" s="27" t="s">
        <v>48</v>
      </c>
      <c r="C78" s="5">
        <f>(5.96/30)/12</f>
        <v>1.6555555555555556E-2</v>
      </c>
      <c r="D78" s="3">
        <f t="shared" si="5"/>
        <v>46.015835555555547</v>
      </c>
      <c r="E78" s="5">
        <f>(5.96/30)/12</f>
        <v>1.6555555555555556E-2</v>
      </c>
      <c r="F78" s="3">
        <f t="shared" si="6"/>
        <v>46.015835555555547</v>
      </c>
      <c r="G78" s="5">
        <f>(5.96/30)/12</f>
        <v>1.6555555555555556E-2</v>
      </c>
      <c r="H78" s="3">
        <f>G78*($H$25+$H$59+$H$60+$H$72)</f>
        <v>67.937377777777783</v>
      </c>
      <c r="I78" t="s">
        <v>155</v>
      </c>
    </row>
    <row r="79" spans="1:9" ht="15" customHeight="1" x14ac:dyDescent="0.35">
      <c r="A79" s="29" t="s">
        <v>2</v>
      </c>
      <c r="B79" s="27" t="s">
        <v>49</v>
      </c>
      <c r="C79" s="5">
        <f>((5/30)/12)*0.015</f>
        <v>2.0833333333333332E-4</v>
      </c>
      <c r="D79" s="3">
        <f t="shared" si="5"/>
        <v>0.57905833333333323</v>
      </c>
      <c r="E79" s="5">
        <f>((5/30)/12)*0.015</f>
        <v>2.0833333333333332E-4</v>
      </c>
      <c r="F79" s="3">
        <f t="shared" si="6"/>
        <v>0.57905833333333323</v>
      </c>
      <c r="G79" s="5">
        <f>((5/30)/12)*0.015</f>
        <v>2.0833333333333332E-4</v>
      </c>
      <c r="H79" s="3">
        <f>G79*($H$25+$H$59+$H$60+$H$72)</f>
        <v>0.85491666666666666</v>
      </c>
      <c r="I79" t="s">
        <v>136</v>
      </c>
    </row>
    <row r="80" spans="1:9" ht="15" customHeight="1" x14ac:dyDescent="0.35">
      <c r="A80" s="32" t="s">
        <v>3</v>
      </c>
      <c r="B80" s="9" t="s">
        <v>50</v>
      </c>
      <c r="C80" s="5">
        <f>(15/360)*0.44%</f>
        <v>1.8333333333333334E-4</v>
      </c>
      <c r="D80" s="3">
        <f t="shared" si="5"/>
        <v>0.50957133333333327</v>
      </c>
      <c r="E80" s="5">
        <f>(15/360)*0.44%</f>
        <v>1.8333333333333334E-4</v>
      </c>
      <c r="F80" s="3">
        <f t="shared" si="6"/>
        <v>0.50957133333333327</v>
      </c>
      <c r="G80" s="5">
        <f>(15/360)*0.44%</f>
        <v>1.8333333333333334E-4</v>
      </c>
      <c r="H80" s="3">
        <f>G80*($H$25+$H$59+$H$60+$H$72)</f>
        <v>0.7523266666666667</v>
      </c>
      <c r="I80" t="s">
        <v>156</v>
      </c>
    </row>
    <row r="81" spans="1:8" x14ac:dyDescent="0.35">
      <c r="A81" s="32" t="s">
        <v>22</v>
      </c>
      <c r="B81" s="9" t="s">
        <v>51</v>
      </c>
      <c r="C81" s="5">
        <f>50%*(4/12)*1.5%*(8.33%+11.11%)</f>
        <v>4.8599999999999989E-4</v>
      </c>
      <c r="D81" s="3">
        <f t="shared" si="5"/>
        <v>1.3508272799999994</v>
      </c>
      <c r="E81" s="5">
        <f>50%*(4/12)*1.5%*(8.33%+11.11%)</f>
        <v>4.8599999999999989E-4</v>
      </c>
      <c r="F81" s="3">
        <f t="shared" si="6"/>
        <v>1.3508272799999994</v>
      </c>
      <c r="G81" s="5">
        <f>50%*(4/12)*1.5%*(8.33%+11.11%)</f>
        <v>4.8599999999999989E-4</v>
      </c>
      <c r="H81" s="3">
        <f>G81*($H$25+$H$59+$H$60+$H$72)</f>
        <v>1.9943495999999996</v>
      </c>
    </row>
    <row r="82" spans="1:8" x14ac:dyDescent="0.35">
      <c r="A82" s="29" t="s">
        <v>24</v>
      </c>
      <c r="B82" s="27" t="s">
        <v>52</v>
      </c>
      <c r="C82" s="6"/>
      <c r="D82" s="3">
        <f t="shared" si="5"/>
        <v>0</v>
      </c>
      <c r="E82" s="6"/>
      <c r="F82" s="3">
        <f t="shared" si="6"/>
        <v>0</v>
      </c>
      <c r="G82" s="3"/>
      <c r="H82" s="3">
        <f t="shared" si="6"/>
        <v>0</v>
      </c>
    </row>
    <row r="83" spans="1:8" x14ac:dyDescent="0.35">
      <c r="A83" s="116" t="s">
        <v>9</v>
      </c>
      <c r="B83" s="116"/>
      <c r="C83" s="27"/>
      <c r="D83" s="4">
        <f>ROUND(SUM(D77:D82),2)</f>
        <v>75.94</v>
      </c>
      <c r="E83" s="27"/>
      <c r="F83" s="4">
        <f>ROUND(SUM(F77:F82),2)</f>
        <v>75.94</v>
      </c>
      <c r="G83" s="27"/>
      <c r="H83" s="4">
        <f>ROUND(SUM(H77:H82),2)</f>
        <v>112.12</v>
      </c>
    </row>
    <row r="85" spans="1:8" ht="15" customHeight="1" x14ac:dyDescent="0.35"/>
    <row r="86" spans="1:8" ht="40" customHeight="1" x14ac:dyDescent="0.35">
      <c r="A86" s="96" t="s">
        <v>53</v>
      </c>
      <c r="B86" s="96"/>
      <c r="C86" s="96" t="str">
        <f>$C$19</f>
        <v>Copeiragem</v>
      </c>
      <c r="D86" s="96"/>
      <c r="E86" s="96" t="str">
        <f>$E$19</f>
        <v>Carregador</v>
      </c>
      <c r="F86" s="96"/>
      <c r="G86" s="96" t="str">
        <f>$G$19</f>
        <v>Garçom</v>
      </c>
      <c r="H86" s="96"/>
    </row>
    <row r="87" spans="1:8" x14ac:dyDescent="0.35">
      <c r="A87" s="29" t="s">
        <v>54</v>
      </c>
      <c r="B87" s="29" t="s">
        <v>58</v>
      </c>
      <c r="C87" s="29"/>
      <c r="D87" s="29" t="s">
        <v>6</v>
      </c>
      <c r="E87" s="29"/>
      <c r="F87" s="29" t="s">
        <v>6</v>
      </c>
      <c r="G87" s="29"/>
      <c r="H87" s="29" t="s">
        <v>6</v>
      </c>
    </row>
    <row r="88" spans="1:8" ht="29" x14ac:dyDescent="0.35">
      <c r="A88" s="29" t="s">
        <v>0</v>
      </c>
      <c r="B88" s="9" t="s">
        <v>55</v>
      </c>
      <c r="C88" s="10"/>
      <c r="D88" s="3">
        <v>0</v>
      </c>
      <c r="E88" s="7"/>
      <c r="F88" s="3">
        <v>0</v>
      </c>
      <c r="G88" s="7"/>
      <c r="H88" s="3">
        <v>0</v>
      </c>
    </row>
    <row r="89" spans="1:8" x14ac:dyDescent="0.35">
      <c r="A89" s="116" t="s">
        <v>9</v>
      </c>
      <c r="B89" s="116"/>
      <c r="C89" s="27"/>
      <c r="D89" s="4">
        <f>SUM(D88:D88)</f>
        <v>0</v>
      </c>
      <c r="E89" s="27"/>
      <c r="F89" s="4">
        <f>SUM(F88:F88)</f>
        <v>0</v>
      </c>
      <c r="G89" s="27"/>
      <c r="H89" s="4">
        <f>SUM(H88:H88)</f>
        <v>0</v>
      </c>
    </row>
    <row r="91" spans="1:8" ht="15" customHeight="1" x14ac:dyDescent="0.35"/>
    <row r="92" spans="1:8" ht="40" customHeight="1" x14ac:dyDescent="0.35">
      <c r="A92" s="96" t="s">
        <v>56</v>
      </c>
      <c r="B92" s="96"/>
      <c r="C92" s="96" t="str">
        <f>$C$19</f>
        <v>Copeiragem</v>
      </c>
      <c r="D92" s="96"/>
      <c r="E92" s="96" t="str">
        <f>$E$19</f>
        <v>Carregador</v>
      </c>
      <c r="F92" s="96"/>
      <c r="G92" s="96" t="str">
        <f>$G$19</f>
        <v>Garçom</v>
      </c>
      <c r="H92" s="96"/>
    </row>
    <row r="93" spans="1:8" x14ac:dyDescent="0.35">
      <c r="A93" s="29">
        <v>4</v>
      </c>
      <c r="B93" s="29" t="s">
        <v>99</v>
      </c>
      <c r="C93" s="29"/>
      <c r="D93" s="29" t="s">
        <v>6</v>
      </c>
      <c r="E93" s="29"/>
      <c r="F93" s="29" t="s">
        <v>6</v>
      </c>
      <c r="G93" s="29"/>
      <c r="H93" s="29" t="s">
        <v>6</v>
      </c>
    </row>
    <row r="94" spans="1:8" x14ac:dyDescent="0.35">
      <c r="A94" s="29" t="s">
        <v>46</v>
      </c>
      <c r="B94" s="27" t="s">
        <v>57</v>
      </c>
      <c r="C94" s="6"/>
      <c r="D94" s="28">
        <f>D83</f>
        <v>75.94</v>
      </c>
      <c r="E94" s="7"/>
      <c r="F94" s="28">
        <f>F83</f>
        <v>75.94</v>
      </c>
      <c r="G94" s="7"/>
      <c r="H94" s="28">
        <f>H83</f>
        <v>112.12</v>
      </c>
    </row>
    <row r="95" spans="1:8" x14ac:dyDescent="0.35">
      <c r="A95" s="29" t="s">
        <v>54</v>
      </c>
      <c r="B95" s="27" t="s">
        <v>58</v>
      </c>
      <c r="C95" s="6"/>
      <c r="D95" s="28">
        <f>D89</f>
        <v>0</v>
      </c>
      <c r="E95" s="7"/>
      <c r="F95" s="28">
        <f>F89</f>
        <v>0</v>
      </c>
      <c r="G95" s="7"/>
      <c r="H95" s="28">
        <f>H89</f>
        <v>0</v>
      </c>
    </row>
    <row r="96" spans="1:8" x14ac:dyDescent="0.35">
      <c r="A96" s="116" t="s">
        <v>9</v>
      </c>
      <c r="B96" s="116"/>
      <c r="C96" s="27"/>
      <c r="D96" s="4">
        <f>ROUND(SUM(D94:D95),2)</f>
        <v>75.94</v>
      </c>
      <c r="E96" s="27"/>
      <c r="F96" s="4">
        <f>ROUND(SUM(F94:F95),2)</f>
        <v>75.94</v>
      </c>
      <c r="G96" s="27"/>
      <c r="H96" s="4">
        <f>ROUND(SUM(H94:H95),2)</f>
        <v>112.12</v>
      </c>
    </row>
    <row r="98" spans="1:9" ht="15" customHeight="1" x14ac:dyDescent="0.35"/>
    <row r="99" spans="1:9" ht="40" customHeight="1" x14ac:dyDescent="0.35">
      <c r="A99" s="96" t="s">
        <v>59</v>
      </c>
      <c r="B99" s="96"/>
      <c r="C99" s="96" t="str">
        <f>$C$19</f>
        <v>Copeiragem</v>
      </c>
      <c r="D99" s="96"/>
      <c r="E99" s="96" t="str">
        <f>$E$19</f>
        <v>Carregador</v>
      </c>
      <c r="F99" s="96"/>
      <c r="G99" s="96" t="str">
        <f>$G$19</f>
        <v>Garçom</v>
      </c>
      <c r="H99" s="96"/>
    </row>
    <row r="100" spans="1:9" x14ac:dyDescent="0.35">
      <c r="A100" s="29">
        <v>5</v>
      </c>
      <c r="B100" s="29" t="s">
        <v>60</v>
      </c>
      <c r="C100" s="29"/>
      <c r="D100" s="29" t="s">
        <v>6</v>
      </c>
      <c r="E100" s="29"/>
      <c r="F100" s="29" t="s">
        <v>6</v>
      </c>
      <c r="G100" s="29"/>
      <c r="H100" s="29" t="s">
        <v>6</v>
      </c>
    </row>
    <row r="101" spans="1:9" x14ac:dyDescent="0.35">
      <c r="A101" s="29" t="s">
        <v>0</v>
      </c>
      <c r="B101" s="27" t="s">
        <v>273</v>
      </c>
      <c r="C101" s="6"/>
      <c r="D101" s="28">
        <f>Uniformes!B10</f>
        <v>78.349999999999994</v>
      </c>
      <c r="E101" s="7"/>
      <c r="F101" s="28">
        <f>Uniformes!B26</f>
        <v>163.51600000000002</v>
      </c>
      <c r="G101" s="7"/>
      <c r="H101" s="28">
        <f>Uniformes!B44</f>
        <v>112.765</v>
      </c>
    </row>
    <row r="102" spans="1:9" x14ac:dyDescent="0.35">
      <c r="A102" s="29" t="s">
        <v>1</v>
      </c>
      <c r="B102" s="27" t="s">
        <v>61</v>
      </c>
      <c r="C102" s="6"/>
      <c r="D102" s="83">
        <f>Mat_Ins_Copeiragem!L56</f>
        <v>973.40577777777764</v>
      </c>
      <c r="E102" s="7"/>
      <c r="F102" s="29"/>
      <c r="G102" s="7"/>
      <c r="H102" s="29"/>
    </row>
    <row r="103" spans="1:9" x14ac:dyDescent="0.35">
      <c r="A103" s="29" t="s">
        <v>2</v>
      </c>
      <c r="B103" s="27" t="s">
        <v>62</v>
      </c>
      <c r="C103" s="6"/>
      <c r="D103" s="29"/>
      <c r="E103" s="7"/>
      <c r="F103" s="29"/>
      <c r="G103" s="7"/>
      <c r="H103" s="29"/>
    </row>
    <row r="104" spans="1:9" x14ac:dyDescent="0.35">
      <c r="A104" s="32" t="s">
        <v>3</v>
      </c>
      <c r="B104" s="9" t="s">
        <v>8</v>
      </c>
      <c r="C104" s="6"/>
      <c r="D104" s="29"/>
      <c r="E104" s="7"/>
      <c r="F104" s="29"/>
      <c r="G104" s="7"/>
      <c r="H104" s="29"/>
    </row>
    <row r="105" spans="1:9" x14ac:dyDescent="0.35">
      <c r="A105" s="116" t="s">
        <v>9</v>
      </c>
      <c r="B105" s="116"/>
      <c r="C105" s="27"/>
      <c r="D105" s="4">
        <f>ROUND(SUM(D101:D104),2)</f>
        <v>1051.76</v>
      </c>
      <c r="E105" s="27"/>
      <c r="F105" s="4">
        <f>ROUND(SUM(F101:F104),2)</f>
        <v>163.52000000000001</v>
      </c>
      <c r="G105" s="27"/>
      <c r="H105" s="4">
        <f>ROUND(SUM(H101:H104),2)</f>
        <v>112.77</v>
      </c>
    </row>
    <row r="107" spans="1:9" ht="15" customHeight="1" x14ac:dyDescent="0.35"/>
    <row r="108" spans="1:9" ht="40" customHeight="1" x14ac:dyDescent="0.35">
      <c r="A108" s="96" t="s">
        <v>63</v>
      </c>
      <c r="B108" s="96"/>
      <c r="C108" s="96" t="str">
        <f>$C$19</f>
        <v>Copeiragem</v>
      </c>
      <c r="D108" s="96"/>
      <c r="E108" s="96" t="str">
        <f>$E$19</f>
        <v>Carregador</v>
      </c>
      <c r="F108" s="96"/>
      <c r="G108" s="96" t="str">
        <f>$G$19</f>
        <v>Garçom</v>
      </c>
      <c r="H108" s="96"/>
    </row>
    <row r="109" spans="1:9" x14ac:dyDescent="0.35">
      <c r="A109" s="29">
        <v>6</v>
      </c>
      <c r="B109" s="29" t="s">
        <v>100</v>
      </c>
      <c r="C109" s="29" t="s">
        <v>13</v>
      </c>
      <c r="D109" s="29" t="s">
        <v>6</v>
      </c>
      <c r="E109" s="29" t="s">
        <v>13</v>
      </c>
      <c r="F109" s="29" t="s">
        <v>6</v>
      </c>
      <c r="G109" s="29" t="s">
        <v>13</v>
      </c>
      <c r="H109" s="29" t="s">
        <v>6</v>
      </c>
      <c r="I109" t="s">
        <v>137</v>
      </c>
    </row>
    <row r="110" spans="1:9" x14ac:dyDescent="0.35">
      <c r="A110" s="29" t="s">
        <v>0</v>
      </c>
      <c r="B110" s="27" t="s">
        <v>64</v>
      </c>
      <c r="C110" s="5">
        <f>ROUND(LDI!$B$10,2)</f>
        <v>0.01</v>
      </c>
      <c r="D110" s="28">
        <f>ROUND(D125*C110,2)</f>
        <v>49.27</v>
      </c>
      <c r="E110" s="5">
        <f>ROUND(LDI!$B$10,2)</f>
        <v>0.01</v>
      </c>
      <c r="F110" s="28">
        <f>ROUND(F125*E110,2)</f>
        <v>40.380000000000003</v>
      </c>
      <c r="G110" s="5">
        <f>ROUND(LDI!$B$10,2)</f>
        <v>0.01</v>
      </c>
      <c r="H110" s="28">
        <f>ROUND(H125*G110,2)</f>
        <v>53.01</v>
      </c>
      <c r="I110" t="s">
        <v>393</v>
      </c>
    </row>
    <row r="111" spans="1:9" x14ac:dyDescent="0.35">
      <c r="A111" s="29" t="s">
        <v>1</v>
      </c>
      <c r="B111" s="27" t="s">
        <v>65</v>
      </c>
      <c r="C111" s="5">
        <v>0.1</v>
      </c>
      <c r="D111" s="28">
        <f>ROUND((D125+D110)*C111,2)</f>
        <v>497.59</v>
      </c>
      <c r="E111" s="5">
        <v>0.1</v>
      </c>
      <c r="F111" s="28">
        <f>ROUND((F125+F110)*E111,2)</f>
        <v>407.87</v>
      </c>
      <c r="G111" s="5">
        <v>0.1</v>
      </c>
      <c r="H111" s="28">
        <f>ROUND((H125+H110)*G111,2)</f>
        <v>535.42999999999995</v>
      </c>
    </row>
    <row r="112" spans="1:9" x14ac:dyDescent="0.35">
      <c r="A112" s="29" t="s">
        <v>2</v>
      </c>
      <c r="B112" s="27" t="s">
        <v>66</v>
      </c>
      <c r="C112" s="5">
        <f t="shared" ref="C112:F112" si="7">SUM(C113:C115)</f>
        <v>0.14250000000000002</v>
      </c>
      <c r="D112" s="28">
        <f t="shared" si="7"/>
        <v>909.58</v>
      </c>
      <c r="E112" s="5">
        <f t="shared" si="7"/>
        <v>0.14250000000000002</v>
      </c>
      <c r="F112" s="28">
        <f t="shared" si="7"/>
        <v>745.58999999999992</v>
      </c>
      <c r="G112" s="5">
        <f t="shared" ref="G112:H112" si="8">SUM(G113:G115)</f>
        <v>0.14250000000000002</v>
      </c>
      <c r="H112" s="28">
        <f t="shared" si="8"/>
        <v>978.77</v>
      </c>
      <c r="I112" t="s">
        <v>173</v>
      </c>
    </row>
    <row r="113" spans="1:9" x14ac:dyDescent="0.35">
      <c r="A113" s="32" t="s">
        <v>67</v>
      </c>
      <c r="B113" s="9" t="s">
        <v>68</v>
      </c>
      <c r="C113" s="5">
        <v>1.6500000000000001E-2</v>
      </c>
      <c r="D113" s="28">
        <f>ROUND(C113*D127,2)</f>
        <v>105.32</v>
      </c>
      <c r="E113" s="5">
        <v>1.6500000000000001E-2</v>
      </c>
      <c r="F113" s="28">
        <f>ROUND(E113*F127,2)</f>
        <v>86.33</v>
      </c>
      <c r="G113" s="5">
        <v>1.6500000000000001E-2</v>
      </c>
      <c r="H113" s="28">
        <f>ROUND(G113*H127,2)</f>
        <v>113.33</v>
      </c>
      <c r="I113" t="s">
        <v>174</v>
      </c>
    </row>
    <row r="114" spans="1:9" x14ac:dyDescent="0.35">
      <c r="A114" s="32" t="s">
        <v>69</v>
      </c>
      <c r="B114" s="9" t="s">
        <v>70</v>
      </c>
      <c r="C114" s="5">
        <v>7.5999999999999998E-2</v>
      </c>
      <c r="D114" s="28">
        <f>ROUND(C114*D127,2)</f>
        <v>485.11</v>
      </c>
      <c r="E114" s="5">
        <v>7.5999999999999998E-2</v>
      </c>
      <c r="F114" s="28">
        <f>ROUND(E114*F127,2)</f>
        <v>397.65</v>
      </c>
      <c r="G114" s="5">
        <v>7.5999999999999998E-2</v>
      </c>
      <c r="H114" s="28">
        <f>ROUND(G114*H127,2)</f>
        <v>522.01</v>
      </c>
      <c r="I114" t="s">
        <v>175</v>
      </c>
    </row>
    <row r="115" spans="1:9" x14ac:dyDescent="0.35">
      <c r="A115" s="29" t="s">
        <v>71</v>
      </c>
      <c r="B115" s="27" t="s">
        <v>72</v>
      </c>
      <c r="C115" s="5">
        <v>0.05</v>
      </c>
      <c r="D115" s="28">
        <f>ROUND(C115*D127,2)</f>
        <v>319.14999999999998</v>
      </c>
      <c r="E115" s="5">
        <v>0.05</v>
      </c>
      <c r="F115" s="28">
        <f>ROUND(E115*F127,2)</f>
        <v>261.61</v>
      </c>
      <c r="G115" s="5">
        <v>0.05</v>
      </c>
      <c r="H115" s="28">
        <f>ROUND(G115*H127,2)</f>
        <v>343.43</v>
      </c>
    </row>
    <row r="116" spans="1:9" x14ac:dyDescent="0.35">
      <c r="A116" s="116" t="s">
        <v>9</v>
      </c>
      <c r="B116" s="116"/>
      <c r="C116" s="27"/>
      <c r="D116" s="4">
        <f>ROUND(SUM(D110+D111+D112),2)</f>
        <v>1456.44</v>
      </c>
      <c r="E116" s="27"/>
      <c r="F116" s="4">
        <f>ROUND(SUM(F110+F111+F112),2)</f>
        <v>1193.8399999999999</v>
      </c>
      <c r="G116" s="27"/>
      <c r="H116" s="4">
        <f>ROUND(SUM(H110+H111+H112),2)</f>
        <v>1567.21</v>
      </c>
    </row>
    <row r="117" spans="1:9" ht="15" customHeight="1" x14ac:dyDescent="0.35">
      <c r="A117" s="33"/>
      <c r="B117" s="33"/>
      <c r="D117" s="11"/>
      <c r="F117" s="11"/>
      <c r="G117" s="11"/>
      <c r="H117" s="11"/>
    </row>
    <row r="118" spans="1:9" ht="40" customHeight="1" x14ac:dyDescent="0.35">
      <c r="A118" s="96" t="s">
        <v>73</v>
      </c>
      <c r="B118" s="96"/>
      <c r="C118" s="96" t="str">
        <f>$C$19</f>
        <v>Copeiragem</v>
      </c>
      <c r="D118" s="96"/>
      <c r="E118" s="96" t="str">
        <f>$E$19</f>
        <v>Carregador</v>
      </c>
      <c r="F118" s="96"/>
      <c r="G118" s="96" t="str">
        <f>$G$19</f>
        <v>Garçom</v>
      </c>
      <c r="H118" s="96"/>
    </row>
    <row r="119" spans="1:9" x14ac:dyDescent="0.35">
      <c r="A119" s="123" t="s">
        <v>74</v>
      </c>
      <c r="B119" s="123"/>
      <c r="C119" s="29" t="s">
        <v>13</v>
      </c>
      <c r="D119" s="29" t="s">
        <v>6</v>
      </c>
      <c r="E119" s="29" t="s">
        <v>13</v>
      </c>
      <c r="F119" s="29" t="s">
        <v>6</v>
      </c>
      <c r="G119" s="29" t="s">
        <v>13</v>
      </c>
      <c r="H119" s="29" t="s">
        <v>6</v>
      </c>
    </row>
    <row r="120" spans="1:9" x14ac:dyDescent="0.35">
      <c r="A120" s="29" t="s">
        <v>0</v>
      </c>
      <c r="B120" s="27" t="s">
        <v>75</v>
      </c>
      <c r="C120" s="7">
        <f>(D120/$D$127)</f>
        <v>0.25530453314722307</v>
      </c>
      <c r="D120" s="28">
        <f>D25</f>
        <v>1629.62</v>
      </c>
      <c r="E120" s="34">
        <f>F120/$F$127</f>
        <v>0.31145991071209655</v>
      </c>
      <c r="F120" s="28">
        <f>F25</f>
        <v>1629.62</v>
      </c>
      <c r="G120" s="34">
        <v>0.31</v>
      </c>
      <c r="H120" s="28">
        <f>H25</f>
        <v>2405.96</v>
      </c>
    </row>
    <row r="121" spans="1:9" x14ac:dyDescent="0.35">
      <c r="A121" s="29" t="s">
        <v>1</v>
      </c>
      <c r="B121" s="27" t="s">
        <v>76</v>
      </c>
      <c r="C121" s="7">
        <f t="shared" ref="C121:C126" si="9">(D121/$D$127)</f>
        <v>0.32157072491623206</v>
      </c>
      <c r="D121" s="28">
        <f>D62</f>
        <v>2052.6</v>
      </c>
      <c r="E121" s="34">
        <f>F121/$F$127</f>
        <v>0.39230164868352713</v>
      </c>
      <c r="F121" s="28">
        <f>F62</f>
        <v>2052.6</v>
      </c>
      <c r="G121" s="34">
        <v>0.32</v>
      </c>
      <c r="H121" s="28">
        <f>H62</f>
        <v>2498.2199999999998</v>
      </c>
    </row>
    <row r="122" spans="1:9" x14ac:dyDescent="0.35">
      <c r="A122" s="29" t="s">
        <v>2</v>
      </c>
      <c r="B122" s="27" t="s">
        <v>77</v>
      </c>
      <c r="C122" s="7">
        <f t="shared" si="9"/>
        <v>1.827968049460487E-2</v>
      </c>
      <c r="D122" s="28">
        <f>D72</f>
        <v>116.68</v>
      </c>
      <c r="E122" s="34">
        <f>F122/$F$127</f>
        <v>2.230037823657505E-2</v>
      </c>
      <c r="F122" s="28">
        <f>F72</f>
        <v>116.68</v>
      </c>
      <c r="G122" s="34">
        <v>0.02</v>
      </c>
      <c r="H122" s="28">
        <f>H72</f>
        <v>172.26</v>
      </c>
    </row>
    <row r="123" spans="1:9" x14ac:dyDescent="0.35">
      <c r="A123" s="32" t="s">
        <v>3</v>
      </c>
      <c r="B123" s="9" t="s">
        <v>78</v>
      </c>
      <c r="C123" s="7">
        <f t="shared" si="9"/>
        <v>1.1897145498459837E-2</v>
      </c>
      <c r="D123" s="28">
        <f>D96</f>
        <v>75.94</v>
      </c>
      <c r="E123" s="34">
        <f>F123/$F$127</f>
        <v>1.4513976030900834E-2</v>
      </c>
      <c r="F123" s="28">
        <f>F96</f>
        <v>75.94</v>
      </c>
      <c r="G123" s="34">
        <v>0.01</v>
      </c>
      <c r="H123" s="28">
        <f>H96</f>
        <v>112.12</v>
      </c>
    </row>
    <row r="124" spans="1:9" x14ac:dyDescent="0.35">
      <c r="A124" s="32" t="s">
        <v>22</v>
      </c>
      <c r="B124" s="9" t="s">
        <v>79</v>
      </c>
      <c r="C124" s="7">
        <f t="shared" si="9"/>
        <v>0.16477405516802895</v>
      </c>
      <c r="D124" s="28">
        <f>D105</f>
        <v>1051.76</v>
      </c>
      <c r="E124" s="34">
        <f>F124/$F$127</f>
        <v>3.1252638406280016E-2</v>
      </c>
      <c r="F124" s="28">
        <f>F105</f>
        <v>163.52000000000001</v>
      </c>
      <c r="G124" s="34">
        <v>0.02</v>
      </c>
      <c r="H124" s="28">
        <f>H105</f>
        <v>112.77</v>
      </c>
    </row>
    <row r="125" spans="1:9" x14ac:dyDescent="0.35">
      <c r="A125" s="125" t="s">
        <v>80</v>
      </c>
      <c r="B125" s="125"/>
      <c r="C125" s="7"/>
      <c r="D125" s="35">
        <f>ROUND(SUM(D120:D124),2)</f>
        <v>4926.6000000000004</v>
      </c>
      <c r="E125" s="34"/>
      <c r="F125" s="35">
        <f>ROUND(SUM(F120:F124),2)</f>
        <v>4038.36</v>
      </c>
      <c r="G125" s="34"/>
      <c r="H125" s="35">
        <f>ROUND(SUM(H120:H124),2)</f>
        <v>5301.33</v>
      </c>
    </row>
    <row r="126" spans="1:9" x14ac:dyDescent="0.35">
      <c r="A126" s="32" t="s">
        <v>24</v>
      </c>
      <c r="B126" s="36" t="s">
        <v>63</v>
      </c>
      <c r="C126" s="7">
        <f t="shared" si="9"/>
        <v>0.2281732761361186</v>
      </c>
      <c r="D126" s="28">
        <f>D116</f>
        <v>1456.44</v>
      </c>
      <c r="E126" s="34">
        <f>F126/$F$127</f>
        <v>0.22817178225876547</v>
      </c>
      <c r="F126" s="28">
        <f>F116</f>
        <v>1193.8399999999999</v>
      </c>
      <c r="G126" s="34">
        <v>0.14000000000000001</v>
      </c>
      <c r="H126" s="28">
        <f>H116</f>
        <v>1567.21</v>
      </c>
    </row>
    <row r="127" spans="1:9" x14ac:dyDescent="0.35">
      <c r="A127" s="125" t="s">
        <v>81</v>
      </c>
      <c r="B127" s="125"/>
      <c r="C127" s="37">
        <f>SUM(C120:C126)</f>
        <v>0.99999941536066728</v>
      </c>
      <c r="D127" s="35">
        <f>(D125+D110+D111)/(1-C112)</f>
        <v>6383.0437317784272</v>
      </c>
      <c r="E127" s="34">
        <f>SUM(E120:E126)</f>
        <v>1.0000003343281452</v>
      </c>
      <c r="F127" s="35">
        <f>(F125+F110+F111)/(1-E112)</f>
        <v>5232.198250728864</v>
      </c>
      <c r="G127" s="34">
        <f>SUM(G120:G126)</f>
        <v>0.82000000000000006</v>
      </c>
      <c r="H127" s="35">
        <f>(H125+H110+H111)/(1-G112)</f>
        <v>6868.5364431486887</v>
      </c>
    </row>
    <row r="128" spans="1:9" x14ac:dyDescent="0.35">
      <c r="D128" s="38">
        <f>D127/D120</f>
        <v>3.9168908897647472</v>
      </c>
      <c r="E128" s="38"/>
      <c r="F128" s="38">
        <f>F127/F120</f>
        <v>3.2106860806377342</v>
      </c>
      <c r="G128" s="38">
        <f>G127/G120</f>
        <v>2.645161290322581</v>
      </c>
      <c r="H128" s="38"/>
    </row>
    <row r="129" spans="1:22" ht="15" customHeight="1" x14ac:dyDescent="0.35">
      <c r="D129" s="38">
        <f>(D127-D120)/D120</f>
        <v>2.9168908897647472</v>
      </c>
      <c r="E129" s="38"/>
      <c r="F129" s="38">
        <f>(F127-F120)/F120</f>
        <v>2.2106860806377342</v>
      </c>
      <c r="G129" s="38">
        <f>(G127-G120)/G120</f>
        <v>1.6451612903225807</v>
      </c>
      <c r="H129" s="38"/>
    </row>
    <row r="130" spans="1:22" ht="40" customHeight="1" x14ac:dyDescent="0.35">
      <c r="A130" s="96" t="s">
        <v>350</v>
      </c>
      <c r="B130" s="96"/>
      <c r="C130" s="96"/>
      <c r="D130" s="96"/>
      <c r="E130" s="96"/>
      <c r="F130" s="96"/>
      <c r="G130" s="96"/>
      <c r="H130" s="96"/>
      <c r="I130" s="96"/>
      <c r="J130" s="96"/>
      <c r="K130" s="96"/>
      <c r="L130" s="96"/>
    </row>
    <row r="131" spans="1:22" x14ac:dyDescent="0.35">
      <c r="A131" s="96" t="s">
        <v>82</v>
      </c>
      <c r="B131" s="96"/>
      <c r="C131" s="96" t="s">
        <v>83</v>
      </c>
      <c r="D131" s="96"/>
      <c r="E131" s="96" t="s">
        <v>84</v>
      </c>
      <c r="F131" s="96"/>
      <c r="G131" s="96" t="s">
        <v>85</v>
      </c>
      <c r="H131" s="96"/>
      <c r="I131" s="96" t="s">
        <v>86</v>
      </c>
      <c r="J131" s="96"/>
      <c r="K131" s="96" t="s">
        <v>87</v>
      </c>
      <c r="L131" s="96"/>
    </row>
    <row r="132" spans="1:22" x14ac:dyDescent="0.35">
      <c r="A132" s="29" t="s">
        <v>88</v>
      </c>
      <c r="B132" s="39" t="str">
        <f>C19</f>
        <v>Copeiragem</v>
      </c>
      <c r="C132" s="126">
        <f>ROUND(D127,2)</f>
        <v>6383.04</v>
      </c>
      <c r="D132" s="126"/>
      <c r="E132" s="127">
        <v>1</v>
      </c>
      <c r="F132" s="127"/>
      <c r="G132" s="126">
        <f>(C132*E132)</f>
        <v>6383.04</v>
      </c>
      <c r="H132" s="126"/>
      <c r="I132" s="127">
        <v>1</v>
      </c>
      <c r="J132" s="127"/>
      <c r="K132" s="126">
        <f>G132*I132</f>
        <v>6383.04</v>
      </c>
      <c r="L132" s="126"/>
    </row>
    <row r="133" spans="1:22" x14ac:dyDescent="0.35">
      <c r="A133" s="29" t="s">
        <v>89</v>
      </c>
      <c r="B133" s="39" t="str">
        <f>E19</f>
        <v>Carregador</v>
      </c>
      <c r="C133" s="126">
        <f>ROUND(F127,2)</f>
        <v>5232.2</v>
      </c>
      <c r="D133" s="126"/>
      <c r="E133" s="127">
        <v>1</v>
      </c>
      <c r="F133" s="127"/>
      <c r="G133" s="130">
        <f t="shared" ref="G133" si="10">(C133*E133)</f>
        <v>5232.2</v>
      </c>
      <c r="H133" s="130"/>
      <c r="I133" s="127">
        <v>1</v>
      </c>
      <c r="J133" s="127"/>
      <c r="K133" s="126">
        <f t="shared" ref="K133" si="11">G133*I133</f>
        <v>5232.2</v>
      </c>
      <c r="L133" s="126"/>
    </row>
    <row r="134" spans="1:22" x14ac:dyDescent="0.35">
      <c r="A134" s="32" t="s">
        <v>90</v>
      </c>
      <c r="B134" s="39" t="str">
        <f>G19</f>
        <v>Garçom</v>
      </c>
      <c r="C134" s="126">
        <f>ROUND(H127,2)</f>
        <v>6868.54</v>
      </c>
      <c r="D134" s="126"/>
      <c r="E134" s="97">
        <v>1</v>
      </c>
      <c r="F134" s="99"/>
      <c r="G134" s="126">
        <f>(C134*E134)</f>
        <v>6868.54</v>
      </c>
      <c r="H134" s="126"/>
      <c r="I134" s="97">
        <v>3</v>
      </c>
      <c r="J134" s="99"/>
      <c r="K134" s="126">
        <f>G134*I134</f>
        <v>20605.62</v>
      </c>
      <c r="L134" s="126"/>
      <c r="N134" s="55"/>
      <c r="O134" s="55"/>
      <c r="P134" s="55"/>
      <c r="Q134" s="55"/>
      <c r="R134" s="55"/>
      <c r="S134" s="55"/>
      <c r="T134" s="55"/>
      <c r="V134" s="55"/>
    </row>
    <row r="135" spans="1:22" x14ac:dyDescent="0.35">
      <c r="A135" s="131" t="s">
        <v>93</v>
      </c>
      <c r="B135" s="131"/>
      <c r="C135" s="123"/>
      <c r="D135" s="123"/>
      <c r="E135" s="123"/>
      <c r="F135" s="123"/>
      <c r="G135" s="123"/>
      <c r="H135" s="123"/>
      <c r="I135" s="127">
        <f>SUM(I132:I134)</f>
        <v>5</v>
      </c>
      <c r="J135" s="127"/>
      <c r="K135" s="132">
        <f>SUM(K132:K134)</f>
        <v>32220.86</v>
      </c>
      <c r="L135" s="132"/>
    </row>
    <row r="136" spans="1:22" x14ac:dyDescent="0.35">
      <c r="A136" s="131" t="s">
        <v>200</v>
      </c>
      <c r="B136" s="131"/>
      <c r="C136" s="123"/>
      <c r="D136" s="123"/>
      <c r="E136" s="123"/>
      <c r="F136" s="123"/>
      <c r="G136" s="123"/>
      <c r="H136" s="123"/>
      <c r="I136" s="123"/>
      <c r="J136" s="123"/>
      <c r="K136" s="132">
        <f>K135*12</f>
        <v>386650.32</v>
      </c>
      <c r="L136" s="132"/>
    </row>
    <row r="137" spans="1:22" x14ac:dyDescent="0.35">
      <c r="A137" s="131" t="s">
        <v>201</v>
      </c>
      <c r="B137" s="131"/>
      <c r="C137" s="123"/>
      <c r="D137" s="123"/>
      <c r="E137" s="123"/>
      <c r="F137" s="123"/>
      <c r="G137" s="123"/>
      <c r="H137" s="123"/>
      <c r="I137" s="123"/>
      <c r="J137" s="123"/>
      <c r="K137" s="132">
        <f>K135*30</f>
        <v>966625.8</v>
      </c>
      <c r="L137" s="132"/>
    </row>
  </sheetData>
  <mergeCells count="135">
    <mergeCell ref="C4:D4"/>
    <mergeCell ref="E4:F4"/>
    <mergeCell ref="G4:H4"/>
    <mergeCell ref="C3:D3"/>
    <mergeCell ref="E3:F3"/>
    <mergeCell ref="G3:H3"/>
    <mergeCell ref="C2:D2"/>
    <mergeCell ref="E2:F2"/>
    <mergeCell ref="G2:H2"/>
    <mergeCell ref="C9:D9"/>
    <mergeCell ref="E9:F9"/>
    <mergeCell ref="G9:H9"/>
    <mergeCell ref="C8:D8"/>
    <mergeCell ref="E8:F8"/>
    <mergeCell ref="G8:H8"/>
    <mergeCell ref="C5:D5"/>
    <mergeCell ref="E5:F5"/>
    <mergeCell ref="G5:H5"/>
    <mergeCell ref="C14:D14"/>
    <mergeCell ref="E14:F14"/>
    <mergeCell ref="G14:H14"/>
    <mergeCell ref="C13:D13"/>
    <mergeCell ref="E13:F13"/>
    <mergeCell ref="G13:H13"/>
    <mergeCell ref="C10:D10"/>
    <mergeCell ref="E10:F10"/>
    <mergeCell ref="G10:H10"/>
    <mergeCell ref="C17:D17"/>
    <mergeCell ref="E17:F17"/>
    <mergeCell ref="G17:H17"/>
    <mergeCell ref="C16:D16"/>
    <mergeCell ref="E16:F16"/>
    <mergeCell ref="G16:H16"/>
    <mergeCell ref="C15:D15"/>
    <mergeCell ref="E15:F15"/>
    <mergeCell ref="G15:H15"/>
    <mergeCell ref="G28:H28"/>
    <mergeCell ref="G19:H19"/>
    <mergeCell ref="A25:B25"/>
    <mergeCell ref="A28:B28"/>
    <mergeCell ref="C28:D28"/>
    <mergeCell ref="E28:F28"/>
    <mergeCell ref="A19:B19"/>
    <mergeCell ref="C19:D19"/>
    <mergeCell ref="E19:F19"/>
    <mergeCell ref="G48:H48"/>
    <mergeCell ref="A45:B45"/>
    <mergeCell ref="A48:B48"/>
    <mergeCell ref="C48:D48"/>
    <mergeCell ref="E48:F48"/>
    <mergeCell ref="G35:H35"/>
    <mergeCell ref="A32:B32"/>
    <mergeCell ref="A35:B35"/>
    <mergeCell ref="C35:D35"/>
    <mergeCell ref="E35:F35"/>
    <mergeCell ref="A62:B62"/>
    <mergeCell ref="A65:B65"/>
    <mergeCell ref="C65:D65"/>
    <mergeCell ref="E65:F65"/>
    <mergeCell ref="E57:F57"/>
    <mergeCell ref="G57:H57"/>
    <mergeCell ref="A51:A52"/>
    <mergeCell ref="B51:B52"/>
    <mergeCell ref="A54:B54"/>
    <mergeCell ref="A57:B57"/>
    <mergeCell ref="C57:D57"/>
    <mergeCell ref="G86:H86"/>
    <mergeCell ref="A83:B83"/>
    <mergeCell ref="A86:B86"/>
    <mergeCell ref="C86:D86"/>
    <mergeCell ref="E86:F86"/>
    <mergeCell ref="G75:H75"/>
    <mergeCell ref="G65:H65"/>
    <mergeCell ref="A72:B72"/>
    <mergeCell ref="A75:B75"/>
    <mergeCell ref="C75:D75"/>
    <mergeCell ref="E75:F75"/>
    <mergeCell ref="G99:H99"/>
    <mergeCell ref="A96:B96"/>
    <mergeCell ref="A99:B99"/>
    <mergeCell ref="C99:D99"/>
    <mergeCell ref="E99:F99"/>
    <mergeCell ref="G92:H92"/>
    <mergeCell ref="A89:B89"/>
    <mergeCell ref="A92:B92"/>
    <mergeCell ref="C92:D92"/>
    <mergeCell ref="E92:F92"/>
    <mergeCell ref="G118:H118"/>
    <mergeCell ref="A116:B116"/>
    <mergeCell ref="A118:B118"/>
    <mergeCell ref="C118:D118"/>
    <mergeCell ref="E118:F118"/>
    <mergeCell ref="G108:H108"/>
    <mergeCell ref="A105:B105"/>
    <mergeCell ref="A108:B108"/>
    <mergeCell ref="C108:D108"/>
    <mergeCell ref="E108:F108"/>
    <mergeCell ref="E132:F132"/>
    <mergeCell ref="G132:H132"/>
    <mergeCell ref="I132:J132"/>
    <mergeCell ref="K132:L132"/>
    <mergeCell ref="A119:B119"/>
    <mergeCell ref="A125:B125"/>
    <mergeCell ref="A127:B127"/>
    <mergeCell ref="A130:L130"/>
    <mergeCell ref="A131:B131"/>
    <mergeCell ref="C131:D131"/>
    <mergeCell ref="E131:F131"/>
    <mergeCell ref="G131:H131"/>
    <mergeCell ref="I131:J131"/>
    <mergeCell ref="K131:L131"/>
    <mergeCell ref="A137:B137"/>
    <mergeCell ref="C137:J137"/>
    <mergeCell ref="K137:L137"/>
    <mergeCell ref="A1:H1"/>
    <mergeCell ref="A7:H7"/>
    <mergeCell ref="A12:H12"/>
    <mergeCell ref="A135:B135"/>
    <mergeCell ref="C135:H135"/>
    <mergeCell ref="I135:J135"/>
    <mergeCell ref="K135:L135"/>
    <mergeCell ref="A136:B136"/>
    <mergeCell ref="C136:J136"/>
    <mergeCell ref="K136:L136"/>
    <mergeCell ref="C134:D134"/>
    <mergeCell ref="E134:F134"/>
    <mergeCell ref="G134:H134"/>
    <mergeCell ref="I134:J134"/>
    <mergeCell ref="K134:L134"/>
    <mergeCell ref="C133:D133"/>
    <mergeCell ref="E133:F133"/>
    <mergeCell ref="G133:H133"/>
    <mergeCell ref="I133:J133"/>
    <mergeCell ref="K133:L133"/>
    <mergeCell ref="C132:D132"/>
  </mergeCells>
  <pageMargins left="0.51180555555555496" right="0.51180555555555496" top="0.78749999999999998" bottom="0.78749999999999998" header="0.51180555555555496" footer="0.51180555555555496"/>
  <pageSetup paperSize="9" scale="18" firstPageNumber="0" orientation="portrait"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83592C-DAAA-4084-93EC-B968DE853C05}">
  <sheetPr>
    <pageSetUpPr fitToPage="1"/>
  </sheetPr>
  <dimension ref="A1:G32"/>
  <sheetViews>
    <sheetView workbookViewId="0">
      <selection activeCell="G32" sqref="G32"/>
    </sheetView>
  </sheetViews>
  <sheetFormatPr defaultRowHeight="14.5" x14ac:dyDescent="0.35"/>
  <cols>
    <col min="3" max="3" width="29.6328125" customWidth="1"/>
    <col min="4" max="4" width="12.26953125" customWidth="1"/>
    <col min="5" max="5" width="12.6328125" customWidth="1"/>
    <col min="6" max="6" width="15.6328125" customWidth="1"/>
    <col min="7" max="7" width="41.36328125" customWidth="1"/>
  </cols>
  <sheetData>
    <row r="1" spans="1:7" x14ac:dyDescent="0.35">
      <c r="A1" s="144" t="s">
        <v>357</v>
      </c>
      <c r="B1" s="144"/>
      <c r="C1" s="144"/>
      <c r="D1" s="144"/>
      <c r="E1" s="144"/>
      <c r="F1" s="144"/>
      <c r="G1" s="144"/>
    </row>
    <row r="2" spans="1:7" ht="29" x14ac:dyDescent="0.35">
      <c r="A2" s="94" t="s">
        <v>358</v>
      </c>
      <c r="B2" s="94" t="s">
        <v>392</v>
      </c>
      <c r="C2" s="94" t="s">
        <v>359</v>
      </c>
      <c r="D2" s="95" t="s">
        <v>360</v>
      </c>
      <c r="E2" s="95" t="s">
        <v>361</v>
      </c>
      <c r="F2" s="95" t="s">
        <v>362</v>
      </c>
      <c r="G2" s="95" t="s">
        <v>363</v>
      </c>
    </row>
    <row r="3" spans="1:7" ht="43.5" x14ac:dyDescent="0.35">
      <c r="A3" s="123" t="s">
        <v>88</v>
      </c>
      <c r="B3" s="32">
        <v>1</v>
      </c>
      <c r="C3" s="17" t="s">
        <v>364</v>
      </c>
      <c r="D3" s="17">
        <v>40</v>
      </c>
      <c r="E3" s="91">
        <f>'Planilha de Custos Grupo I'!C132</f>
        <v>6383.04</v>
      </c>
      <c r="F3" s="92">
        <f>E3*D3</f>
        <v>255321.60000000001</v>
      </c>
      <c r="G3" s="92">
        <f>F3*12</f>
        <v>3063859.2000000002</v>
      </c>
    </row>
    <row r="4" spans="1:7" ht="43.5" x14ac:dyDescent="0.35">
      <c r="A4" s="123"/>
      <c r="B4" s="32">
        <v>2</v>
      </c>
      <c r="C4" s="17" t="s">
        <v>365</v>
      </c>
      <c r="D4" s="17">
        <v>13</v>
      </c>
      <c r="E4" s="92">
        <f>'Planilha de Custos Grupo I'!C135</f>
        <v>5232.2</v>
      </c>
      <c r="F4" s="92">
        <f t="shared" ref="F4:F31" si="0">E4*D4</f>
        <v>68018.599999999991</v>
      </c>
      <c r="G4" s="92">
        <f t="shared" ref="G4:G32" si="1">F4*12</f>
        <v>816223.2</v>
      </c>
    </row>
    <row r="5" spans="1:7" ht="43.5" x14ac:dyDescent="0.35">
      <c r="A5" s="123"/>
      <c r="B5" s="32">
        <v>3</v>
      </c>
      <c r="C5" s="17" t="s">
        <v>366</v>
      </c>
      <c r="D5" s="17">
        <v>3</v>
      </c>
      <c r="E5" s="93">
        <f>'Planilha de Custos Grupo I'!C134</f>
        <v>7492.9</v>
      </c>
      <c r="F5" s="92">
        <f t="shared" si="0"/>
        <v>22478.699999999997</v>
      </c>
      <c r="G5" s="92">
        <f t="shared" si="1"/>
        <v>269744.39999999997</v>
      </c>
    </row>
    <row r="6" spans="1:7" ht="43.5" x14ac:dyDescent="0.35">
      <c r="A6" s="123"/>
      <c r="B6" s="32">
        <v>4</v>
      </c>
      <c r="C6" s="17" t="s">
        <v>367</v>
      </c>
      <c r="D6" s="17">
        <v>1</v>
      </c>
      <c r="E6" s="93">
        <f>'Planilha de Custos Grupo I'!C132</f>
        <v>6383.04</v>
      </c>
      <c r="F6" s="92">
        <f t="shared" si="0"/>
        <v>6383.04</v>
      </c>
      <c r="G6" s="92">
        <f t="shared" si="1"/>
        <v>76596.479999999996</v>
      </c>
    </row>
    <row r="7" spans="1:7" ht="58" x14ac:dyDescent="0.35">
      <c r="A7" s="123"/>
      <c r="B7" s="32">
        <v>5</v>
      </c>
      <c r="C7" s="17" t="s">
        <v>368</v>
      </c>
      <c r="D7" s="17">
        <v>1</v>
      </c>
      <c r="E7" s="93">
        <f>'Planilha de Custos Grupo I'!C132</f>
        <v>6383.04</v>
      </c>
      <c r="F7" s="92">
        <f t="shared" si="0"/>
        <v>6383.04</v>
      </c>
      <c r="G7" s="92">
        <f t="shared" si="1"/>
        <v>76596.479999999996</v>
      </c>
    </row>
    <row r="8" spans="1:7" ht="43.5" x14ac:dyDescent="0.35">
      <c r="A8" s="123"/>
      <c r="B8" s="32">
        <v>6</v>
      </c>
      <c r="C8" s="17" t="s">
        <v>369</v>
      </c>
      <c r="D8" s="17">
        <v>2</v>
      </c>
      <c r="E8" s="93">
        <f>'Planilha de Custos Grupo I'!C132</f>
        <v>6383.04</v>
      </c>
      <c r="F8" s="92">
        <f t="shared" si="0"/>
        <v>12766.08</v>
      </c>
      <c r="G8" s="92">
        <f t="shared" si="1"/>
        <v>153192.95999999999</v>
      </c>
    </row>
    <row r="9" spans="1:7" ht="29" x14ac:dyDescent="0.35">
      <c r="A9" s="123"/>
      <c r="B9" s="32">
        <v>7</v>
      </c>
      <c r="C9" s="17" t="s">
        <v>370</v>
      </c>
      <c r="D9" s="17">
        <v>1</v>
      </c>
      <c r="E9" s="93">
        <f>'Planilha de Custos Grupo I'!C133</f>
        <v>7024.13</v>
      </c>
      <c r="F9" s="92">
        <f t="shared" si="0"/>
        <v>7024.13</v>
      </c>
      <c r="G9" s="92">
        <f t="shared" si="1"/>
        <v>84289.56</v>
      </c>
    </row>
    <row r="10" spans="1:7" ht="43.5" x14ac:dyDescent="0.35">
      <c r="A10" s="123"/>
      <c r="B10" s="32">
        <v>8</v>
      </c>
      <c r="C10" s="17" t="s">
        <v>371</v>
      </c>
      <c r="D10" s="17">
        <v>1</v>
      </c>
      <c r="E10" s="93">
        <f>'Planilha de Custos Grupo I'!C133</f>
        <v>7024.13</v>
      </c>
      <c r="F10" s="92">
        <f t="shared" si="0"/>
        <v>7024.13</v>
      </c>
      <c r="G10" s="92">
        <f t="shared" si="1"/>
        <v>84289.56</v>
      </c>
    </row>
    <row r="11" spans="1:7" ht="58" x14ac:dyDescent="0.35">
      <c r="A11" s="123"/>
      <c r="B11" s="32">
        <v>9</v>
      </c>
      <c r="C11" s="17" t="s">
        <v>372</v>
      </c>
      <c r="D11" s="17">
        <v>1</v>
      </c>
      <c r="E11" s="93">
        <f>'Planilha de Custos Grupo I'!C133</f>
        <v>7024.13</v>
      </c>
      <c r="F11" s="92">
        <f t="shared" si="0"/>
        <v>7024.13</v>
      </c>
      <c r="G11" s="92">
        <f t="shared" si="1"/>
        <v>84289.56</v>
      </c>
    </row>
    <row r="12" spans="1:7" ht="43.5" x14ac:dyDescent="0.35">
      <c r="A12" s="123" t="s">
        <v>89</v>
      </c>
      <c r="B12" s="32">
        <v>10</v>
      </c>
      <c r="C12" s="17" t="s">
        <v>373</v>
      </c>
      <c r="D12" s="17">
        <v>3</v>
      </c>
      <c r="E12" s="93">
        <f>'Planilha de Custos Grupo II'!C134</f>
        <v>7492.9</v>
      </c>
      <c r="F12" s="92">
        <f t="shared" si="0"/>
        <v>22478.699999999997</v>
      </c>
      <c r="G12" s="92">
        <f t="shared" si="1"/>
        <v>269744.39999999997</v>
      </c>
    </row>
    <row r="13" spans="1:7" ht="43.5" x14ac:dyDescent="0.35">
      <c r="A13" s="123"/>
      <c r="B13" s="32">
        <v>11</v>
      </c>
      <c r="C13" s="17" t="s">
        <v>373</v>
      </c>
      <c r="D13" s="17">
        <v>1</v>
      </c>
      <c r="E13" s="93">
        <f>'Planilha de Custos Grupo II'!C133</f>
        <v>7024.13</v>
      </c>
      <c r="F13" s="92">
        <f t="shared" si="0"/>
        <v>7024.13</v>
      </c>
      <c r="G13" s="92">
        <f t="shared" si="1"/>
        <v>84289.56</v>
      </c>
    </row>
    <row r="14" spans="1:7" ht="43.5" x14ac:dyDescent="0.35">
      <c r="A14" s="123"/>
      <c r="B14" s="32">
        <v>12</v>
      </c>
      <c r="C14" s="17" t="s">
        <v>373</v>
      </c>
      <c r="D14" s="17">
        <v>1</v>
      </c>
      <c r="E14" s="93">
        <f>'Planilha de Custos Grupo II'!C132</f>
        <v>6383.04</v>
      </c>
      <c r="F14" s="92">
        <f t="shared" si="0"/>
        <v>6383.04</v>
      </c>
      <c r="G14" s="92">
        <f t="shared" si="1"/>
        <v>76596.479999999996</v>
      </c>
    </row>
    <row r="15" spans="1:7" ht="43.5" x14ac:dyDescent="0.35">
      <c r="A15" s="123"/>
      <c r="B15" s="32">
        <v>13</v>
      </c>
      <c r="C15" s="17" t="s">
        <v>374</v>
      </c>
      <c r="D15" s="17">
        <v>2</v>
      </c>
      <c r="E15" s="93">
        <f>'Planilha de Custos Grupo II'!C135</f>
        <v>6342.06</v>
      </c>
      <c r="F15" s="92">
        <f t="shared" si="0"/>
        <v>12684.12</v>
      </c>
      <c r="G15" s="92">
        <f t="shared" si="1"/>
        <v>152209.44</v>
      </c>
    </row>
    <row r="16" spans="1:7" ht="43.5" x14ac:dyDescent="0.35">
      <c r="A16" s="123"/>
      <c r="B16" s="32">
        <v>14</v>
      </c>
      <c r="C16" s="17" t="s">
        <v>375</v>
      </c>
      <c r="D16" s="17">
        <v>2</v>
      </c>
      <c r="E16" s="93">
        <f>'Planilha de Custos Grupo II'!C132</f>
        <v>6383.04</v>
      </c>
      <c r="F16" s="92">
        <f t="shared" si="0"/>
        <v>12766.08</v>
      </c>
      <c r="G16" s="92">
        <f t="shared" si="1"/>
        <v>153192.95999999999</v>
      </c>
    </row>
    <row r="17" spans="1:7" ht="29" x14ac:dyDescent="0.35">
      <c r="A17" s="123" t="s">
        <v>90</v>
      </c>
      <c r="B17" s="32">
        <v>15</v>
      </c>
      <c r="C17" s="17" t="s">
        <v>376</v>
      </c>
      <c r="D17" s="17">
        <v>8</v>
      </c>
      <c r="E17" s="93">
        <f>'Planilha de Custos Grupo III'!C132</f>
        <v>7024.13</v>
      </c>
      <c r="F17" s="92">
        <f t="shared" si="0"/>
        <v>56193.04</v>
      </c>
      <c r="G17" s="92">
        <f t="shared" si="1"/>
        <v>674316.48</v>
      </c>
    </row>
    <row r="18" spans="1:7" ht="29" x14ac:dyDescent="0.35">
      <c r="A18" s="123"/>
      <c r="B18" s="32">
        <v>16</v>
      </c>
      <c r="C18" s="17" t="s">
        <v>377</v>
      </c>
      <c r="D18" s="17">
        <v>2</v>
      </c>
      <c r="E18" s="93">
        <f>'Planilha de Custos Grupo III'!C133</f>
        <v>5918.48</v>
      </c>
      <c r="F18" s="92">
        <f t="shared" si="0"/>
        <v>11836.96</v>
      </c>
      <c r="G18" s="92">
        <f t="shared" si="1"/>
        <v>142043.51999999999</v>
      </c>
    </row>
    <row r="19" spans="1:7" ht="43.5" x14ac:dyDescent="0.35">
      <c r="A19" s="123"/>
      <c r="B19" s="32">
        <v>17</v>
      </c>
      <c r="C19" s="17" t="s">
        <v>378</v>
      </c>
      <c r="D19" s="17">
        <v>5</v>
      </c>
      <c r="E19" s="93">
        <f>'Planilha de Custos Grupo III'!C134</f>
        <v>8369.1299999999992</v>
      </c>
      <c r="F19" s="92">
        <f t="shared" si="0"/>
        <v>41845.649999999994</v>
      </c>
      <c r="G19" s="92">
        <f t="shared" si="1"/>
        <v>502147.79999999993</v>
      </c>
    </row>
    <row r="20" spans="1:7" ht="29" x14ac:dyDescent="0.35">
      <c r="A20" s="123" t="s">
        <v>91</v>
      </c>
      <c r="B20" s="32">
        <v>18</v>
      </c>
      <c r="C20" s="17" t="s">
        <v>379</v>
      </c>
      <c r="D20" s="17">
        <v>13</v>
      </c>
      <c r="E20" s="93">
        <f>'Planilha de Custos Grupo IV'!C132</f>
        <v>6383.04</v>
      </c>
      <c r="F20" s="92">
        <f t="shared" si="0"/>
        <v>82979.520000000004</v>
      </c>
      <c r="G20" s="92">
        <f t="shared" si="1"/>
        <v>995754.24</v>
      </c>
    </row>
    <row r="21" spans="1:7" ht="29" x14ac:dyDescent="0.35">
      <c r="A21" s="123"/>
      <c r="B21" s="32">
        <v>19</v>
      </c>
      <c r="C21" s="17" t="s">
        <v>380</v>
      </c>
      <c r="D21" s="17">
        <v>3</v>
      </c>
      <c r="E21" s="93">
        <f>'Planilha de Custos Grupo IV'!C133</f>
        <v>5232.2</v>
      </c>
      <c r="F21" s="92">
        <f t="shared" si="0"/>
        <v>15696.599999999999</v>
      </c>
      <c r="G21" s="92">
        <f t="shared" si="1"/>
        <v>188359.19999999998</v>
      </c>
    </row>
    <row r="22" spans="1:7" ht="58" x14ac:dyDescent="0.35">
      <c r="A22" s="123" t="s">
        <v>92</v>
      </c>
      <c r="B22" s="32">
        <v>20</v>
      </c>
      <c r="C22" s="17" t="s">
        <v>381</v>
      </c>
      <c r="D22" s="17">
        <v>21</v>
      </c>
      <c r="E22" s="93">
        <f>'Planilha de Custos Grupo V'!C132</f>
        <v>6383.04</v>
      </c>
      <c r="F22" s="92">
        <f t="shared" si="0"/>
        <v>134043.84</v>
      </c>
      <c r="G22" s="92">
        <f t="shared" si="1"/>
        <v>1608526.08</v>
      </c>
    </row>
    <row r="23" spans="1:7" ht="58" x14ac:dyDescent="0.35">
      <c r="A23" s="123"/>
      <c r="B23" s="32">
        <v>21</v>
      </c>
      <c r="C23" s="17" t="s">
        <v>385</v>
      </c>
      <c r="D23" s="17">
        <v>2</v>
      </c>
      <c r="E23" s="93">
        <f>'Planilha de Custos Grupo V'!C133</f>
        <v>5232.2</v>
      </c>
      <c r="F23" s="92">
        <f t="shared" si="0"/>
        <v>10464.4</v>
      </c>
      <c r="G23" s="92">
        <f t="shared" si="1"/>
        <v>125572.79999999999</v>
      </c>
    </row>
    <row r="24" spans="1:7" ht="58" x14ac:dyDescent="0.35">
      <c r="A24" s="123"/>
      <c r="B24" s="32">
        <v>22</v>
      </c>
      <c r="C24" s="17" t="s">
        <v>386</v>
      </c>
      <c r="D24" s="17">
        <v>17</v>
      </c>
      <c r="E24" s="93">
        <f>'Planilha de Custos Grupo V'!C134</f>
        <v>6868.54</v>
      </c>
      <c r="F24" s="92">
        <f t="shared" si="0"/>
        <v>116765.18</v>
      </c>
      <c r="G24" s="92">
        <f t="shared" si="1"/>
        <v>1401182.16</v>
      </c>
    </row>
    <row r="25" spans="1:7" ht="58" x14ac:dyDescent="0.35">
      <c r="A25" s="123"/>
      <c r="B25" s="32">
        <v>23</v>
      </c>
      <c r="C25" s="17" t="s">
        <v>387</v>
      </c>
      <c r="D25" s="17">
        <v>1</v>
      </c>
      <c r="E25" s="93">
        <f>'Planilha de Custos Grupo V'!C135</f>
        <v>10368.34</v>
      </c>
      <c r="F25" s="92">
        <f t="shared" si="0"/>
        <v>10368.34</v>
      </c>
      <c r="G25" s="92">
        <f t="shared" si="1"/>
        <v>124420.08</v>
      </c>
    </row>
    <row r="26" spans="1:7" ht="58" x14ac:dyDescent="0.35">
      <c r="A26" s="123"/>
      <c r="B26" s="32">
        <v>24</v>
      </c>
      <c r="C26" s="17" t="s">
        <v>388</v>
      </c>
      <c r="D26" s="17">
        <v>1</v>
      </c>
      <c r="E26" s="93">
        <f>'Planilha de Custos Grupo V'!C136</f>
        <v>6817.85</v>
      </c>
      <c r="F26" s="92">
        <f t="shared" si="0"/>
        <v>6817.85</v>
      </c>
      <c r="G26" s="92">
        <f t="shared" si="1"/>
        <v>81814.200000000012</v>
      </c>
    </row>
    <row r="27" spans="1:7" ht="43.5" x14ac:dyDescent="0.35">
      <c r="A27" s="123" t="s">
        <v>95</v>
      </c>
      <c r="B27" s="32">
        <v>25</v>
      </c>
      <c r="C27" s="17" t="s">
        <v>389</v>
      </c>
      <c r="D27" s="17">
        <v>6</v>
      </c>
      <c r="E27" s="93">
        <f>'Planilha de Custos Grupo VI'!C132</f>
        <v>6383.04</v>
      </c>
      <c r="F27" s="92">
        <f t="shared" si="0"/>
        <v>38298.239999999998</v>
      </c>
      <c r="G27" s="92">
        <f t="shared" si="1"/>
        <v>459578.88</v>
      </c>
    </row>
    <row r="28" spans="1:7" ht="43.5" x14ac:dyDescent="0.35">
      <c r="A28" s="123"/>
      <c r="B28" s="32">
        <v>26</v>
      </c>
      <c r="C28" s="17" t="s">
        <v>390</v>
      </c>
      <c r="D28" s="17">
        <v>2</v>
      </c>
      <c r="E28" s="93">
        <f>'Planilha de Custos Grupo VI'!G133</f>
        <v>6868.54</v>
      </c>
      <c r="F28" s="92">
        <f t="shared" si="0"/>
        <v>13737.08</v>
      </c>
      <c r="G28" s="92">
        <f t="shared" si="1"/>
        <v>164844.96</v>
      </c>
    </row>
    <row r="29" spans="1:7" ht="43.5" x14ac:dyDescent="0.35">
      <c r="A29" s="123" t="s">
        <v>251</v>
      </c>
      <c r="B29" s="32">
        <v>27</v>
      </c>
      <c r="C29" s="17" t="s">
        <v>382</v>
      </c>
      <c r="D29" s="17">
        <v>1</v>
      </c>
      <c r="E29" s="93">
        <f>'Planilha de Custos Grupo VII'!C132</f>
        <v>6383.04</v>
      </c>
      <c r="F29" s="92">
        <f t="shared" si="0"/>
        <v>6383.04</v>
      </c>
      <c r="G29" s="92">
        <f t="shared" si="1"/>
        <v>76596.479999999996</v>
      </c>
    </row>
    <row r="30" spans="1:7" ht="43.5" x14ac:dyDescent="0.35">
      <c r="A30" s="123"/>
      <c r="B30" s="32">
        <v>28</v>
      </c>
      <c r="C30" s="17" t="s">
        <v>383</v>
      </c>
      <c r="D30" s="17">
        <v>3</v>
      </c>
      <c r="E30" s="93">
        <f>'Planilha de Custos Grupo VII'!C133</f>
        <v>5232.2</v>
      </c>
      <c r="F30" s="92">
        <f t="shared" si="0"/>
        <v>15696.599999999999</v>
      </c>
      <c r="G30" s="92">
        <f t="shared" si="1"/>
        <v>188359.19999999998</v>
      </c>
    </row>
    <row r="31" spans="1:7" ht="43.5" x14ac:dyDescent="0.35">
      <c r="A31" s="123"/>
      <c r="B31" s="32">
        <v>29</v>
      </c>
      <c r="C31" s="17" t="s">
        <v>384</v>
      </c>
      <c r="D31" s="17">
        <v>1</v>
      </c>
      <c r="E31" s="93">
        <f>'Planilha de Custos Grupo VII'!C134</f>
        <v>6868.54</v>
      </c>
      <c r="F31" s="92">
        <f t="shared" si="0"/>
        <v>6868.54</v>
      </c>
      <c r="G31" s="92">
        <f t="shared" si="1"/>
        <v>82422.48</v>
      </c>
    </row>
    <row r="32" spans="1:7" x14ac:dyDescent="0.35">
      <c r="A32" s="141" t="s">
        <v>391</v>
      </c>
      <c r="B32" s="142"/>
      <c r="C32" s="143"/>
      <c r="D32" s="32">
        <f>SUM(D3:D31)</f>
        <v>158</v>
      </c>
      <c r="E32" s="92">
        <f>SUM(E3:E31)</f>
        <v>193287.13000000003</v>
      </c>
      <c r="F32" s="92">
        <f>SUM(F3:F31)</f>
        <v>1021754.3999999999</v>
      </c>
      <c r="G32" s="93">
        <f t="shared" si="1"/>
        <v>12261052.799999999</v>
      </c>
    </row>
  </sheetData>
  <mergeCells count="9">
    <mergeCell ref="A27:A28"/>
    <mergeCell ref="A29:A31"/>
    <mergeCell ref="A32:C32"/>
    <mergeCell ref="A1:G1"/>
    <mergeCell ref="A3:A11"/>
    <mergeCell ref="A12:A16"/>
    <mergeCell ref="A17:A19"/>
    <mergeCell ref="A20:A21"/>
    <mergeCell ref="A22:A26"/>
  </mergeCells>
  <pageMargins left="0.511811024" right="0.511811024" top="0.78740157499999996" bottom="0.78740157499999996" header="0.31496062000000002" footer="0.31496062000000002"/>
  <pageSetup paperSize="9" scale="5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3FABD7-037E-4F6F-A8B1-2FB422D0A757}">
  <sheetPr>
    <pageSetUpPr fitToPage="1"/>
  </sheetPr>
  <dimension ref="A1:ALQ65"/>
  <sheetViews>
    <sheetView showGridLines="0" topLeftCell="A41" workbookViewId="0">
      <selection activeCell="B61" sqref="B61"/>
    </sheetView>
  </sheetViews>
  <sheetFormatPr defaultRowHeight="14.5" x14ac:dyDescent="0.35"/>
  <cols>
    <col min="1" max="1" width="53.26953125" style="12" customWidth="1"/>
    <col min="2" max="8" width="17.81640625" style="12" customWidth="1"/>
    <col min="9" max="992" width="9.1796875" style="12"/>
    <col min="993" max="1006" width="8.7265625" customWidth="1"/>
  </cols>
  <sheetData>
    <row r="1" spans="1:1005" ht="13.9" customHeight="1" x14ac:dyDescent="0.35"/>
    <row r="2" spans="1:1005" s="13" customFormat="1" ht="72" customHeight="1" x14ac:dyDescent="0.35">
      <c r="A2" s="1" t="s">
        <v>214</v>
      </c>
      <c r="B2" s="1" t="s">
        <v>158</v>
      </c>
      <c r="C2" s="1" t="s">
        <v>244</v>
      </c>
      <c r="D2" s="1" t="s">
        <v>245</v>
      </c>
      <c r="E2" s="1" t="s">
        <v>246</v>
      </c>
      <c r="F2" s="1" t="s">
        <v>247</v>
      </c>
      <c r="G2" s="1" t="s">
        <v>248</v>
      </c>
      <c r="H2" s="1" t="s">
        <v>249</v>
      </c>
      <c r="ALE2" s="14"/>
      <c r="ALF2" s="14"/>
      <c r="ALG2" s="14"/>
      <c r="ALH2" s="14"/>
      <c r="ALI2" s="14"/>
      <c r="ALJ2" s="14"/>
      <c r="ALK2" s="14"/>
      <c r="ALL2" s="14"/>
      <c r="ALM2" s="14"/>
      <c r="ALN2" s="14"/>
      <c r="ALO2" s="14"/>
      <c r="ALP2" s="14"/>
      <c r="ALQ2"/>
    </row>
    <row r="3" spans="1:1005" s="15" customFormat="1" ht="59.25" customHeight="1" x14ac:dyDescent="0.35">
      <c r="A3" s="21" t="s">
        <v>163</v>
      </c>
      <c r="B3" s="17" t="s">
        <v>164</v>
      </c>
      <c r="C3" s="40">
        <v>81.239999999999995</v>
      </c>
      <c r="D3" s="40">
        <v>50</v>
      </c>
      <c r="E3" s="40">
        <v>87.5</v>
      </c>
      <c r="F3" s="40">
        <v>75.67</v>
      </c>
      <c r="G3" s="40">
        <v>75.459999999999994</v>
      </c>
      <c r="H3" s="40">
        <v>10.71</v>
      </c>
      <c r="ALE3" s="16"/>
      <c r="ALF3" s="16"/>
      <c r="ALG3" s="16"/>
      <c r="ALH3" s="16"/>
      <c r="ALI3" s="16"/>
      <c r="ALJ3" s="16"/>
      <c r="ALK3" s="16"/>
      <c r="ALL3" s="16"/>
      <c r="ALM3" s="16"/>
      <c r="ALN3" s="16"/>
      <c r="ALO3" s="16"/>
      <c r="ALP3" s="16"/>
      <c r="ALQ3"/>
    </row>
    <row r="5" spans="1:1005" x14ac:dyDescent="0.35">
      <c r="A5" s="1" t="s">
        <v>129</v>
      </c>
      <c r="B5" s="41">
        <f>AVERAGE(C3:H3)</f>
        <v>63.43</v>
      </c>
    </row>
    <row r="6" spans="1:1005" x14ac:dyDescent="0.35">
      <c r="A6" s="1" t="s">
        <v>157</v>
      </c>
      <c r="B6" s="41">
        <f>_xlfn.STDEV.S(C3:H3)</f>
        <v>28.81271524865366</v>
      </c>
      <c r="G6" s="33" t="s">
        <v>166</v>
      </c>
      <c r="H6" s="13">
        <f>COUNTIFS(C3:H3,"&gt;="&amp;B7,C3:H3,"&lt;="&amp;B8)</f>
        <v>5</v>
      </c>
    </row>
    <row r="7" spans="1:1005" x14ac:dyDescent="0.35">
      <c r="A7" s="1" t="s">
        <v>159</v>
      </c>
      <c r="B7" s="41">
        <f>B5-B6</f>
        <v>34.61728475134634</v>
      </c>
      <c r="G7" s="33" t="s">
        <v>178</v>
      </c>
      <c r="H7" s="49">
        <f>_xlfn.STDEV.S(C3,E3,G3,H3)</f>
        <v>35.685320394619779</v>
      </c>
    </row>
    <row r="8" spans="1:1005" x14ac:dyDescent="0.35">
      <c r="A8" s="1" t="s">
        <v>160</v>
      </c>
      <c r="B8" s="41">
        <f>B5+B6</f>
        <v>92.242715248653667</v>
      </c>
      <c r="G8" s="33" t="s">
        <v>168</v>
      </c>
      <c r="H8" s="43">
        <f>H7/(AVERAGE(C3,E3,G3,H3))</f>
        <v>0.55996736722168261</v>
      </c>
    </row>
    <row r="9" spans="1:1005" x14ac:dyDescent="0.35">
      <c r="A9" s="1" t="s">
        <v>161</v>
      </c>
      <c r="B9" s="42">
        <f>AVERAGEIFS(C3:H3,C3:H3,"&lt;="&amp;B8,C3:H3,"&gt;="&amp;B7)</f>
        <v>73.974000000000004</v>
      </c>
      <c r="G9" s="33" t="s">
        <v>171</v>
      </c>
      <c r="H9" s="13" t="str">
        <f>IF(H8&gt;=25%,"Mediana","Média")</f>
        <v>Mediana</v>
      </c>
    </row>
    <row r="10" spans="1:1005" x14ac:dyDescent="0.35">
      <c r="A10" s="1" t="s">
        <v>169</v>
      </c>
      <c r="B10" s="42">
        <f>MEDIAN(C3,E3,G3,H3)</f>
        <v>78.349999999999994</v>
      </c>
    </row>
    <row r="12" spans="1:1005" x14ac:dyDescent="0.35">
      <c r="A12" s="96" t="s">
        <v>250</v>
      </c>
      <c r="B12" s="96"/>
    </row>
    <row r="13" spans="1:1005" x14ac:dyDescent="0.35">
      <c r="A13" s="9" t="s">
        <v>199</v>
      </c>
      <c r="B13" s="18">
        <f>B9*6</f>
        <v>443.84400000000005</v>
      </c>
    </row>
    <row r="14" spans="1:1005" x14ac:dyDescent="0.35">
      <c r="A14" s="9" t="s">
        <v>94</v>
      </c>
      <c r="B14" s="19">
        <f>B13/30</f>
        <v>14.794800000000002</v>
      </c>
    </row>
    <row r="19" spans="1:1005" s="13" customFormat="1" ht="48.75" customHeight="1" x14ac:dyDescent="0.35">
      <c r="A19" s="1" t="s">
        <v>191</v>
      </c>
      <c r="B19" s="1" t="s">
        <v>158</v>
      </c>
      <c r="C19" s="1" t="s">
        <v>162</v>
      </c>
      <c r="D19" s="1" t="s">
        <v>165</v>
      </c>
      <c r="E19" s="1" t="s">
        <v>193</v>
      </c>
      <c r="F19" s="1" t="s">
        <v>194</v>
      </c>
      <c r="G19" s="1" t="s">
        <v>195</v>
      </c>
      <c r="H19" s="1" t="s">
        <v>196</v>
      </c>
      <c r="ALE19" s="14"/>
      <c r="ALF19" s="14"/>
      <c r="ALG19" s="14"/>
      <c r="ALH19" s="14"/>
      <c r="ALI19" s="14"/>
      <c r="ALJ19" s="14"/>
      <c r="ALK19" s="14"/>
      <c r="ALL19" s="14"/>
      <c r="ALM19" s="14"/>
      <c r="ALN19" s="14"/>
      <c r="ALO19" s="14"/>
      <c r="ALP19" s="14"/>
      <c r="ALQ19"/>
    </row>
    <row r="20" spans="1:1005" s="15" customFormat="1" ht="59.25" customHeight="1" x14ac:dyDescent="0.35">
      <c r="A20" s="21" t="s">
        <v>163</v>
      </c>
      <c r="B20" s="17" t="s">
        <v>164</v>
      </c>
      <c r="C20" s="40">
        <v>126</v>
      </c>
      <c r="D20" s="40">
        <v>300</v>
      </c>
      <c r="E20" s="40">
        <v>179</v>
      </c>
      <c r="F20" s="40">
        <v>143.09</v>
      </c>
      <c r="G20" s="40">
        <v>175</v>
      </c>
      <c r="H20" s="40">
        <v>194.49</v>
      </c>
      <c r="ALE20" s="16"/>
      <c r="ALF20" s="16"/>
      <c r="ALG20" s="16"/>
      <c r="ALH20" s="16"/>
      <c r="ALI20" s="16"/>
      <c r="ALJ20" s="16"/>
      <c r="ALK20" s="16"/>
      <c r="ALL20" s="16"/>
      <c r="ALM20" s="16"/>
      <c r="ALN20" s="16"/>
      <c r="ALO20" s="16"/>
      <c r="ALP20" s="16"/>
      <c r="ALQ20"/>
    </row>
    <row r="22" spans="1:1005" x14ac:dyDescent="0.35">
      <c r="A22" s="1" t="s">
        <v>129</v>
      </c>
      <c r="B22" s="41">
        <f>AVERAGE(C20:H20)</f>
        <v>186.26333333333332</v>
      </c>
    </row>
    <row r="23" spans="1:1005" x14ac:dyDescent="0.35">
      <c r="A23" s="1" t="s">
        <v>157</v>
      </c>
      <c r="B23" s="41">
        <f>_xlfn.STDEV.S(C20:H20)</f>
        <v>61.121080051539302</v>
      </c>
      <c r="G23" s="33" t="s">
        <v>166</v>
      </c>
      <c r="H23" s="13">
        <f>COUNTIFS(C20:H20,"&gt;="&amp;B24,C20:H20,"&lt;="&amp;B25)</f>
        <v>5</v>
      </c>
    </row>
    <row r="24" spans="1:1005" x14ac:dyDescent="0.35">
      <c r="A24" s="1" t="s">
        <v>159</v>
      </c>
      <c r="B24" s="41">
        <f>B22-B23</f>
        <v>125.14225328179401</v>
      </c>
      <c r="G24" s="33" t="s">
        <v>178</v>
      </c>
      <c r="H24" s="50">
        <f>_xlfn.STDEV.S(C20,E20,F20,G20,H20)</f>
        <v>28.087795036278603</v>
      </c>
    </row>
    <row r="25" spans="1:1005" x14ac:dyDescent="0.35">
      <c r="A25" s="1" t="s">
        <v>160</v>
      </c>
      <c r="B25" s="41">
        <f>B22+B23</f>
        <v>247.38441338487263</v>
      </c>
      <c r="G25" s="33" t="s">
        <v>168</v>
      </c>
      <c r="H25" s="43">
        <f>H24/(AVERAGE(C20,E20,F20,G20,H20))</f>
        <v>0.17177398564225274</v>
      </c>
    </row>
    <row r="26" spans="1:1005" x14ac:dyDescent="0.35">
      <c r="A26" s="1" t="s">
        <v>161</v>
      </c>
      <c r="B26" s="42">
        <f>AVERAGEIFS(C20:H20,C20:H20,"&lt;="&amp;B25,C20:H20,"&gt;="&amp;B24)</f>
        <v>163.51600000000002</v>
      </c>
      <c r="G26" s="33" t="s">
        <v>171</v>
      </c>
      <c r="H26" s="13" t="str">
        <f>IF(H25&gt;=25%,"Mediana","Média")</f>
        <v>Média</v>
      </c>
    </row>
    <row r="27" spans="1:1005" x14ac:dyDescent="0.35">
      <c r="A27" s="1" t="s">
        <v>169</v>
      </c>
      <c r="B27" s="42">
        <f>MEDIAN(D20,E20,F20,H20)</f>
        <v>186.745</v>
      </c>
    </row>
    <row r="29" spans="1:1005" x14ac:dyDescent="0.35">
      <c r="A29" s="96" t="s">
        <v>192</v>
      </c>
      <c r="B29" s="96"/>
    </row>
    <row r="30" spans="1:1005" x14ac:dyDescent="0.35">
      <c r="A30" s="9" t="s">
        <v>199</v>
      </c>
      <c r="B30" s="18">
        <f>B26*6</f>
        <v>981.09600000000012</v>
      </c>
    </row>
    <row r="31" spans="1:1005" x14ac:dyDescent="0.35">
      <c r="A31" s="9" t="s">
        <v>94</v>
      </c>
      <c r="B31" s="19">
        <f>B30/30</f>
        <v>32.703200000000002</v>
      </c>
    </row>
    <row r="36" spans="1:8" ht="29" x14ac:dyDescent="0.35">
      <c r="A36" s="1" t="s">
        <v>312</v>
      </c>
      <c r="B36" s="1" t="s">
        <v>158</v>
      </c>
      <c r="C36" s="1" t="s">
        <v>314</v>
      </c>
      <c r="D36" s="1" t="s">
        <v>315</v>
      </c>
      <c r="E36" s="1" t="s">
        <v>316</v>
      </c>
      <c r="F36" s="1" t="s">
        <v>317</v>
      </c>
      <c r="G36" s="1" t="s">
        <v>318</v>
      </c>
      <c r="H36" s="1" t="s">
        <v>319</v>
      </c>
    </row>
    <row r="37" spans="1:8" ht="29" x14ac:dyDescent="0.35">
      <c r="A37" s="21" t="s">
        <v>163</v>
      </c>
      <c r="B37" s="17" t="s">
        <v>164</v>
      </c>
      <c r="C37" s="40">
        <v>83.64</v>
      </c>
      <c r="D37" s="40">
        <v>98.39</v>
      </c>
      <c r="E37" s="40">
        <v>127.14</v>
      </c>
      <c r="F37" s="40">
        <v>254.48</v>
      </c>
      <c r="G37" s="40">
        <v>115.34</v>
      </c>
      <c r="H37" s="40">
        <v>22.92</v>
      </c>
    </row>
    <row r="39" spans="1:8" x14ac:dyDescent="0.35">
      <c r="A39" s="1" t="s">
        <v>129</v>
      </c>
      <c r="B39" s="41">
        <f>AVERAGE(C37:H37)</f>
        <v>116.985</v>
      </c>
    </row>
    <row r="40" spans="1:8" x14ac:dyDescent="0.35">
      <c r="A40" s="1" t="s">
        <v>157</v>
      </c>
      <c r="B40" s="41">
        <f>_xlfn.STDEV.S(C37:H37)</f>
        <v>76.572308767595615</v>
      </c>
      <c r="G40" s="33" t="s">
        <v>166</v>
      </c>
      <c r="H40" s="13">
        <f>COUNTIFS(C37:H37,"&gt;="&amp;B41,C37:H37,"&lt;="&amp;B42)</f>
        <v>4</v>
      </c>
    </row>
    <row r="41" spans="1:8" x14ac:dyDescent="0.35">
      <c r="A41" s="1" t="s">
        <v>159</v>
      </c>
      <c r="B41" s="41">
        <f>B39-B40</f>
        <v>40.412691232404384</v>
      </c>
      <c r="G41" s="33" t="s">
        <v>178</v>
      </c>
      <c r="H41" s="50">
        <f>_xlfn.STDEV.S(C37,E37,F37,G37,H37)</f>
        <v>85.002446317738432</v>
      </c>
    </row>
    <row r="42" spans="1:8" x14ac:dyDescent="0.35">
      <c r="A42" s="1" t="s">
        <v>160</v>
      </c>
      <c r="B42" s="41">
        <f>B39+B40</f>
        <v>193.5573087675956</v>
      </c>
      <c r="G42" s="33" t="s">
        <v>168</v>
      </c>
      <c r="H42" s="43">
        <f>H41/(AVERAGE(C37,E37,F37,G37,H37))</f>
        <v>0.70422228192718084</v>
      </c>
    </row>
    <row r="43" spans="1:8" x14ac:dyDescent="0.35">
      <c r="A43" s="1" t="s">
        <v>161</v>
      </c>
      <c r="B43" s="42">
        <f>AVERAGEIFS(C37:H37,C37:H37,"&lt;="&amp;B42,C37:H37,"&gt;="&amp;B41)</f>
        <v>106.1275</v>
      </c>
      <c r="G43" s="33" t="s">
        <v>171</v>
      </c>
      <c r="H43" s="13" t="str">
        <f>IF(H42&gt;=25%,"Mediana","Média")</f>
        <v>Mediana</v>
      </c>
    </row>
    <row r="44" spans="1:8" x14ac:dyDescent="0.35">
      <c r="A44" s="1" t="s">
        <v>169</v>
      </c>
      <c r="B44" s="42">
        <f>MEDIAN(D37,E37,F37,H37)</f>
        <v>112.765</v>
      </c>
    </row>
    <row r="46" spans="1:8" x14ac:dyDescent="0.35">
      <c r="A46" s="96" t="s">
        <v>192</v>
      </c>
      <c r="B46" s="96"/>
    </row>
    <row r="47" spans="1:8" x14ac:dyDescent="0.35">
      <c r="A47" s="9" t="s">
        <v>199</v>
      </c>
      <c r="B47" s="18">
        <f>B43*6</f>
        <v>636.76499999999999</v>
      </c>
    </row>
    <row r="48" spans="1:8" x14ac:dyDescent="0.35">
      <c r="A48" s="9" t="s">
        <v>94</v>
      </c>
      <c r="B48" s="19">
        <f>B47/30</f>
        <v>21.2255</v>
      </c>
    </row>
    <row r="53" spans="1:992" ht="29" x14ac:dyDescent="0.35">
      <c r="A53" s="1" t="s">
        <v>320</v>
      </c>
      <c r="B53" s="1" t="s">
        <v>158</v>
      </c>
      <c r="C53" s="1" t="s">
        <v>321</v>
      </c>
      <c r="D53" s="1" t="s">
        <v>322</v>
      </c>
      <c r="E53" s="1" t="s">
        <v>323</v>
      </c>
      <c r="F53" s="1" t="s">
        <v>314</v>
      </c>
      <c r="ALC53"/>
      <c r="ALD53"/>
    </row>
    <row r="54" spans="1:992" ht="29" x14ac:dyDescent="0.35">
      <c r="A54" s="21" t="s">
        <v>163</v>
      </c>
      <c r="B54" s="17" t="s">
        <v>164</v>
      </c>
      <c r="C54" s="40">
        <v>69.489999999999995</v>
      </c>
      <c r="D54" s="40">
        <v>156.68</v>
      </c>
      <c r="E54" s="40">
        <v>71.95</v>
      </c>
      <c r="F54" s="40">
        <v>73.650000000000006</v>
      </c>
      <c r="G54" s="15"/>
      <c r="H54" s="15"/>
    </row>
    <row r="56" spans="1:992" x14ac:dyDescent="0.35">
      <c r="A56" s="1" t="s">
        <v>129</v>
      </c>
      <c r="B56" s="41">
        <f>AVERAGE(C54:F54)</f>
        <v>92.942499999999995</v>
      </c>
    </row>
    <row r="57" spans="1:992" x14ac:dyDescent="0.35">
      <c r="A57" s="1" t="s">
        <v>157</v>
      </c>
      <c r="B57" s="41">
        <f>_xlfn.STDEV.S(C54:F54)</f>
        <v>42.52596961465629</v>
      </c>
      <c r="G57" s="33" t="s">
        <v>166</v>
      </c>
      <c r="H57" s="13">
        <f>COUNTIFS(C54:H54,"&gt;="&amp;B58,C54:H54,"&lt;="&amp;B59)</f>
        <v>3</v>
      </c>
    </row>
    <row r="58" spans="1:992" x14ac:dyDescent="0.35">
      <c r="A58" s="1" t="s">
        <v>159</v>
      </c>
      <c r="B58" s="41">
        <f>B56-B57</f>
        <v>50.416530385343705</v>
      </c>
      <c r="G58" s="33" t="s">
        <v>178</v>
      </c>
      <c r="H58" s="50">
        <f>_xlfn.STDEV.S(C54,E54,F54,G54,H54)</f>
        <v>2.0915385086900402</v>
      </c>
    </row>
    <row r="59" spans="1:992" x14ac:dyDescent="0.35">
      <c r="A59" s="1" t="s">
        <v>160</v>
      </c>
      <c r="B59" s="41">
        <f>B56+B57</f>
        <v>135.46846961465627</v>
      </c>
      <c r="G59" s="33" t="s">
        <v>168</v>
      </c>
      <c r="H59" s="43">
        <f>H58/(AVERAGE(C54,E54,F54,G54,H54))</f>
        <v>2.9172046706356036E-2</v>
      </c>
    </row>
    <row r="60" spans="1:992" x14ac:dyDescent="0.35">
      <c r="A60" s="1" t="s">
        <v>161</v>
      </c>
      <c r="B60" s="42">
        <f>AVERAGEIFS(C54:H54,C54:H54,"&lt;="&amp;B59,C54:H54,"&gt;="&amp;B58)</f>
        <v>71.696666666666673</v>
      </c>
      <c r="G60" s="33" t="s">
        <v>171</v>
      </c>
      <c r="H60" s="13" t="str">
        <f>IF(H59&gt;=25%,"Mediana","Média")</f>
        <v>Média</v>
      </c>
    </row>
    <row r="61" spans="1:992" x14ac:dyDescent="0.35">
      <c r="A61" s="1" t="s">
        <v>169</v>
      </c>
      <c r="B61" s="42">
        <f>MEDIAN(D54,E54,F54,H54)</f>
        <v>73.650000000000006</v>
      </c>
    </row>
    <row r="63" spans="1:992" x14ac:dyDescent="0.35">
      <c r="A63" s="96" t="s">
        <v>192</v>
      </c>
      <c r="B63" s="96"/>
    </row>
    <row r="64" spans="1:992" x14ac:dyDescent="0.35">
      <c r="A64" s="9" t="s">
        <v>199</v>
      </c>
      <c r="B64" s="18">
        <f>B60*6</f>
        <v>430.18000000000006</v>
      </c>
    </row>
    <row r="65" spans="1:2" x14ac:dyDescent="0.35">
      <c r="A65" s="9" t="s">
        <v>94</v>
      </c>
      <c r="B65" s="19">
        <f>B64/30</f>
        <v>14.339333333333336</v>
      </c>
    </row>
  </sheetData>
  <mergeCells count="4">
    <mergeCell ref="A12:B12"/>
    <mergeCell ref="A29:B29"/>
    <mergeCell ref="A46:B46"/>
    <mergeCell ref="A63:B63"/>
  </mergeCells>
  <pageMargins left="0.511811024" right="0.511811024" top="0.78740157499999996" bottom="0.78740157499999996" header="0.31496062000000002" footer="0.31496062000000002"/>
  <pageSetup paperSize="9" scale="52"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994326-F7D9-45E7-87AC-DBCA662C4510}">
  <sheetPr>
    <pageSetUpPr fitToPage="1"/>
  </sheetPr>
  <dimension ref="A1:L56"/>
  <sheetViews>
    <sheetView topLeftCell="A53" workbookViewId="0">
      <selection activeCell="L36" sqref="L36"/>
    </sheetView>
  </sheetViews>
  <sheetFormatPr defaultRowHeight="14.5" x14ac:dyDescent="0.35"/>
  <cols>
    <col min="1" max="1" width="7.1796875" customWidth="1"/>
    <col min="2" max="2" width="20.453125" style="81" bestFit="1" customWidth="1"/>
    <col min="3" max="3" width="9.36328125" bestFit="1" customWidth="1"/>
    <col min="4" max="4" width="10.36328125" bestFit="1" customWidth="1"/>
    <col min="5" max="5" width="12.7265625" bestFit="1" customWidth="1"/>
    <col min="6" max="6" width="10.36328125" bestFit="1" customWidth="1"/>
    <col min="7" max="7" width="13.08984375" bestFit="1" customWidth="1"/>
    <col min="8" max="8" width="13.81640625" customWidth="1"/>
    <col min="9" max="9" width="13.6328125" customWidth="1"/>
    <col min="10" max="10" width="11.1796875" customWidth="1"/>
    <col min="11" max="11" width="15.1796875" customWidth="1"/>
    <col min="12" max="12" width="19.36328125" customWidth="1"/>
  </cols>
  <sheetData>
    <row r="1" spans="1:12" ht="15" thickBot="1" x14ac:dyDescent="0.4">
      <c r="A1" s="100"/>
      <c r="B1" s="100"/>
      <c r="C1" s="100"/>
      <c r="D1" s="100"/>
      <c r="E1" s="100"/>
      <c r="F1" s="100"/>
      <c r="G1" s="100"/>
      <c r="H1" s="100"/>
      <c r="I1" s="100"/>
      <c r="J1" s="100"/>
      <c r="K1" s="101"/>
    </row>
    <row r="2" spans="1:12" ht="15" thickBot="1" x14ac:dyDescent="0.4">
      <c r="A2" s="63"/>
      <c r="B2" s="80"/>
      <c r="C2" s="63"/>
      <c r="D2" s="63"/>
      <c r="E2" s="63"/>
      <c r="F2" s="63"/>
      <c r="G2" s="63"/>
      <c r="H2" s="63"/>
      <c r="I2" s="63"/>
      <c r="J2" s="63"/>
      <c r="K2" s="63"/>
    </row>
    <row r="3" spans="1:12" ht="14.5" customHeight="1" x14ac:dyDescent="0.35">
      <c r="A3" s="104" t="s">
        <v>253</v>
      </c>
      <c r="B3" s="106" t="s">
        <v>254</v>
      </c>
      <c r="C3" s="104" t="s">
        <v>255</v>
      </c>
      <c r="D3" s="111"/>
      <c r="E3" s="111"/>
      <c r="F3" s="111"/>
      <c r="G3" s="104" t="s">
        <v>256</v>
      </c>
      <c r="H3" s="104"/>
      <c r="I3" s="104"/>
      <c r="J3" s="104"/>
      <c r="K3" s="102" t="s">
        <v>257</v>
      </c>
      <c r="L3" s="102" t="s">
        <v>303</v>
      </c>
    </row>
    <row r="4" spans="1:12" x14ac:dyDescent="0.35">
      <c r="A4" s="105"/>
      <c r="B4" s="107"/>
      <c r="C4" s="105"/>
      <c r="D4" s="112"/>
      <c r="E4" s="112"/>
      <c r="F4" s="112"/>
      <c r="G4" s="105"/>
      <c r="H4" s="105"/>
      <c r="I4" s="105"/>
      <c r="J4" s="105"/>
      <c r="K4" s="103"/>
      <c r="L4" s="103"/>
    </row>
    <row r="5" spans="1:12" ht="14.5" customHeight="1" x14ac:dyDescent="0.35">
      <c r="A5" s="105"/>
      <c r="B5" s="107"/>
      <c r="C5" s="105"/>
      <c r="D5" s="109" t="s">
        <v>302</v>
      </c>
      <c r="E5" s="110"/>
      <c r="F5" s="110"/>
      <c r="G5" s="108" t="s">
        <v>258</v>
      </c>
      <c r="H5" s="108"/>
      <c r="I5" s="108"/>
      <c r="J5" s="108"/>
      <c r="K5" s="103"/>
      <c r="L5" s="103"/>
    </row>
    <row r="6" spans="1:12" ht="58" x14ac:dyDescent="0.35">
      <c r="A6" s="105"/>
      <c r="B6" s="107"/>
      <c r="C6" s="105"/>
      <c r="D6" s="64" t="s">
        <v>259</v>
      </c>
      <c r="E6" s="65" t="s">
        <v>259</v>
      </c>
      <c r="F6" s="66" t="s">
        <v>259</v>
      </c>
      <c r="G6" s="67" t="s">
        <v>260</v>
      </c>
      <c r="H6" s="68" t="s">
        <v>261</v>
      </c>
      <c r="I6" s="68" t="s">
        <v>262</v>
      </c>
      <c r="J6" s="68" t="s">
        <v>263</v>
      </c>
      <c r="K6" s="103"/>
      <c r="L6" s="103"/>
    </row>
    <row r="7" spans="1:12" ht="29" x14ac:dyDescent="0.35">
      <c r="A7" s="75">
        <v>1</v>
      </c>
      <c r="B7" s="79" t="s">
        <v>274</v>
      </c>
      <c r="C7" s="76" t="s">
        <v>325</v>
      </c>
      <c r="D7" s="70">
        <v>41.27</v>
      </c>
      <c r="E7" s="71">
        <v>11.86</v>
      </c>
      <c r="F7" s="70">
        <v>14.97</v>
      </c>
      <c r="G7" s="72">
        <f>_xlfn.STDEV.S(D7,E7,F7)</f>
        <v>16.157094417004558</v>
      </c>
      <c r="H7" s="73">
        <f>AVERAGE(D7,E7,F7)</f>
        <v>22.700000000000003</v>
      </c>
      <c r="I7" s="77">
        <f t="shared" ref="I7:I46" si="0">SUM(G7,H7)</f>
        <v>38.857094417004561</v>
      </c>
      <c r="J7" s="74">
        <f t="shared" ref="J7:J46" si="1">H7-G7</f>
        <v>6.542905582995445</v>
      </c>
      <c r="K7" s="78">
        <f t="shared" ref="K7:K46" si="2">H7</f>
        <v>22.700000000000003</v>
      </c>
      <c r="L7" s="78">
        <f>K7*12</f>
        <v>272.40000000000003</v>
      </c>
    </row>
    <row r="8" spans="1:12" x14ac:dyDescent="0.35">
      <c r="A8" s="75">
        <v>2</v>
      </c>
      <c r="B8" s="79" t="s">
        <v>265</v>
      </c>
      <c r="C8" s="76" t="s">
        <v>326</v>
      </c>
      <c r="D8" s="70">
        <v>4.91</v>
      </c>
      <c r="E8" s="71">
        <v>7.59</v>
      </c>
      <c r="F8" s="70">
        <v>4.4000000000000004</v>
      </c>
      <c r="G8" s="72">
        <f t="shared" ref="G8:G54" si="3">_xlfn.STDEV.S(D8,E8,F8)</f>
        <v>1.7136024431977623</v>
      </c>
      <c r="H8" s="73">
        <f t="shared" ref="H8:H54" si="4">AVERAGE(D8,E8,F8)</f>
        <v>5.6333333333333329</v>
      </c>
      <c r="I8" s="77">
        <f t="shared" si="0"/>
        <v>7.3469357765310956</v>
      </c>
      <c r="J8" s="74">
        <f t="shared" si="1"/>
        <v>3.9197308901355705</v>
      </c>
      <c r="K8" s="78">
        <f t="shared" si="2"/>
        <v>5.6333333333333329</v>
      </c>
      <c r="L8" s="78">
        <f>K8*24</f>
        <v>135.19999999999999</v>
      </c>
    </row>
    <row r="9" spans="1:12" x14ac:dyDescent="0.35">
      <c r="A9" s="75">
        <v>3</v>
      </c>
      <c r="B9" s="79" t="s">
        <v>266</v>
      </c>
      <c r="C9" s="76" t="s">
        <v>326</v>
      </c>
      <c r="D9" s="70">
        <v>8.77</v>
      </c>
      <c r="E9" s="71">
        <v>7.48</v>
      </c>
      <c r="F9" s="70">
        <v>10.24</v>
      </c>
      <c r="G9" s="72">
        <f t="shared" si="3"/>
        <v>1.3809779143780685</v>
      </c>
      <c r="H9" s="73">
        <f t="shared" si="4"/>
        <v>8.83</v>
      </c>
      <c r="I9" s="77">
        <f t="shared" si="0"/>
        <v>10.210977914378068</v>
      </c>
      <c r="J9" s="74">
        <f t="shared" si="1"/>
        <v>7.449022085621932</v>
      </c>
      <c r="K9" s="78">
        <f t="shared" si="2"/>
        <v>8.83</v>
      </c>
      <c r="L9" s="78">
        <f>K9*24</f>
        <v>211.92000000000002</v>
      </c>
    </row>
    <row r="10" spans="1:12" x14ac:dyDescent="0.35">
      <c r="A10" s="75">
        <v>4</v>
      </c>
      <c r="B10" s="79" t="s">
        <v>275</v>
      </c>
      <c r="C10" s="76" t="s">
        <v>325</v>
      </c>
      <c r="D10" s="70">
        <v>7.86</v>
      </c>
      <c r="E10" s="71">
        <v>26.13</v>
      </c>
      <c r="F10" s="70">
        <v>12.86</v>
      </c>
      <c r="G10" s="72">
        <f t="shared" si="3"/>
        <v>9.4418024409184316</v>
      </c>
      <c r="H10" s="73">
        <f t="shared" si="4"/>
        <v>15.616666666666667</v>
      </c>
      <c r="I10" s="77">
        <f t="shared" si="0"/>
        <v>25.058469107585097</v>
      </c>
      <c r="J10" s="74">
        <f t="shared" si="1"/>
        <v>6.1748642257482356</v>
      </c>
      <c r="K10" s="78">
        <f t="shared" si="2"/>
        <v>15.616666666666667</v>
      </c>
      <c r="L10" s="78">
        <f>K10*2</f>
        <v>31.233333333333334</v>
      </c>
    </row>
    <row r="11" spans="1:12" ht="29" x14ac:dyDescent="0.35">
      <c r="A11" s="75">
        <v>5</v>
      </c>
      <c r="B11" s="79" t="s">
        <v>276</v>
      </c>
      <c r="C11" s="76" t="s">
        <v>325</v>
      </c>
      <c r="D11" s="70">
        <v>85.19</v>
      </c>
      <c r="E11" s="71">
        <v>47.83</v>
      </c>
      <c r="F11" s="70">
        <v>27.37</v>
      </c>
      <c r="G11" s="72">
        <f t="shared" si="3"/>
        <v>29.318747131030914</v>
      </c>
      <c r="H11" s="73">
        <f t="shared" si="4"/>
        <v>53.463333333333331</v>
      </c>
      <c r="I11" s="77">
        <f t="shared" si="0"/>
        <v>82.782080464364242</v>
      </c>
      <c r="J11" s="74">
        <f t="shared" si="1"/>
        <v>24.144586202302417</v>
      </c>
      <c r="K11" s="78">
        <f t="shared" si="2"/>
        <v>53.463333333333331</v>
      </c>
      <c r="L11" s="78">
        <f>K11*2</f>
        <v>106.92666666666666</v>
      </c>
    </row>
    <row r="12" spans="1:12" ht="29" x14ac:dyDescent="0.35">
      <c r="A12" s="75"/>
      <c r="B12" s="79" t="s">
        <v>277</v>
      </c>
      <c r="C12" s="76" t="s">
        <v>301</v>
      </c>
      <c r="D12" s="70">
        <v>56.81</v>
      </c>
      <c r="E12" s="71">
        <v>53.3</v>
      </c>
      <c r="F12" s="70">
        <v>48.9</v>
      </c>
      <c r="G12" s="72">
        <f t="shared" si="3"/>
        <v>3.9633361368086542</v>
      </c>
      <c r="H12" s="73">
        <f t="shared" si="4"/>
        <v>53.00333333333333</v>
      </c>
      <c r="I12" s="77">
        <f t="shared" si="0"/>
        <v>56.966669470141987</v>
      </c>
      <c r="J12" s="74">
        <f t="shared" si="1"/>
        <v>49.039997196524673</v>
      </c>
      <c r="K12" s="78">
        <f t="shared" si="2"/>
        <v>53.00333333333333</v>
      </c>
      <c r="L12" s="78">
        <f>K12*2</f>
        <v>106.00666666666666</v>
      </c>
    </row>
    <row r="13" spans="1:12" ht="29" x14ac:dyDescent="0.35">
      <c r="A13" s="75">
        <v>6</v>
      </c>
      <c r="B13" s="86" t="s">
        <v>278</v>
      </c>
      <c r="C13" s="76" t="s">
        <v>325</v>
      </c>
      <c r="D13" s="70">
        <v>15.12</v>
      </c>
      <c r="E13" s="71">
        <v>17.809999999999999</v>
      </c>
      <c r="F13" s="70">
        <v>19.47</v>
      </c>
      <c r="G13" s="72">
        <f t="shared" si="3"/>
        <v>2.1952296766701482</v>
      </c>
      <c r="H13" s="73">
        <f t="shared" si="4"/>
        <v>17.466666666666665</v>
      </c>
      <c r="I13" s="77">
        <f t="shared" ref="I13" si="5">SUM(G13,H13)</f>
        <v>19.661896343336814</v>
      </c>
      <c r="J13" s="74">
        <f t="shared" ref="J13" si="6">H13-G13</f>
        <v>15.271436989996516</v>
      </c>
      <c r="K13" s="78">
        <f t="shared" ref="K13" si="7">H13</f>
        <v>17.466666666666665</v>
      </c>
      <c r="L13" s="78">
        <f>K13*4</f>
        <v>69.86666666666666</v>
      </c>
    </row>
    <row r="14" spans="1:12" ht="29" x14ac:dyDescent="0.35">
      <c r="A14" s="75">
        <v>7</v>
      </c>
      <c r="B14" s="79" t="s">
        <v>279</v>
      </c>
      <c r="C14" s="76" t="s">
        <v>301</v>
      </c>
      <c r="D14" s="70">
        <v>37.57</v>
      </c>
      <c r="E14" s="71">
        <v>32.25</v>
      </c>
      <c r="F14" s="70">
        <v>46.91</v>
      </c>
      <c r="G14" s="72">
        <f t="shared" si="3"/>
        <v>7.4212936877609534</v>
      </c>
      <c r="H14" s="73">
        <f t="shared" si="4"/>
        <v>38.909999999999997</v>
      </c>
      <c r="I14" s="77">
        <f t="shared" si="0"/>
        <v>46.331293687760947</v>
      </c>
      <c r="J14" s="74">
        <f t="shared" si="1"/>
        <v>31.488706312239042</v>
      </c>
      <c r="K14" s="78">
        <f t="shared" si="2"/>
        <v>38.909999999999997</v>
      </c>
      <c r="L14" s="78">
        <f t="shared" ref="L14:L23" si="8">K14*12</f>
        <v>466.91999999999996</v>
      </c>
    </row>
    <row r="15" spans="1:12" ht="43.5" x14ac:dyDescent="0.35">
      <c r="A15" s="75">
        <v>8</v>
      </c>
      <c r="B15" s="79" t="s">
        <v>280</v>
      </c>
      <c r="C15" s="76" t="s">
        <v>334</v>
      </c>
      <c r="D15" s="70">
        <v>67.06</v>
      </c>
      <c r="E15" s="71">
        <v>102.57</v>
      </c>
      <c r="F15" s="70">
        <v>90.12</v>
      </c>
      <c r="G15" s="72">
        <f t="shared" si="3"/>
        <v>18.017242667326617</v>
      </c>
      <c r="H15" s="73">
        <f t="shared" si="4"/>
        <v>86.583333333333329</v>
      </c>
      <c r="I15" s="77">
        <f t="shared" si="0"/>
        <v>104.60057600065994</v>
      </c>
      <c r="J15" s="74">
        <f t="shared" si="1"/>
        <v>68.566090666006716</v>
      </c>
      <c r="K15" s="78">
        <f t="shared" si="2"/>
        <v>86.583333333333329</v>
      </c>
      <c r="L15" s="78">
        <f>K15*6</f>
        <v>519.5</v>
      </c>
    </row>
    <row r="16" spans="1:12" ht="43.5" x14ac:dyDescent="0.35">
      <c r="A16" s="75">
        <v>9</v>
      </c>
      <c r="B16" s="82" t="s">
        <v>327</v>
      </c>
      <c r="C16" s="76" t="s">
        <v>335</v>
      </c>
      <c r="D16" s="70">
        <v>12.5</v>
      </c>
      <c r="E16" s="71">
        <v>14.22</v>
      </c>
      <c r="F16" s="70">
        <v>10.79</v>
      </c>
      <c r="G16" s="72">
        <f t="shared" si="3"/>
        <v>1.715002429541528</v>
      </c>
      <c r="H16" s="73">
        <f t="shared" si="4"/>
        <v>12.503333333333332</v>
      </c>
      <c r="I16" s="77">
        <f t="shared" si="0"/>
        <v>14.21833576287486</v>
      </c>
      <c r="J16" s="74">
        <f t="shared" si="1"/>
        <v>10.788330903791804</v>
      </c>
      <c r="K16" s="78">
        <f t="shared" si="2"/>
        <v>12.503333333333332</v>
      </c>
      <c r="L16" s="78">
        <f>K16*24</f>
        <v>300.08</v>
      </c>
    </row>
    <row r="17" spans="1:12" ht="43.5" x14ac:dyDescent="0.35">
      <c r="A17" s="75">
        <v>10</v>
      </c>
      <c r="B17" s="79" t="s">
        <v>328</v>
      </c>
      <c r="C17" s="76" t="s">
        <v>335</v>
      </c>
      <c r="D17" s="70">
        <v>6.79</v>
      </c>
      <c r="E17" s="71">
        <v>3.07</v>
      </c>
      <c r="F17" s="70">
        <v>17.47</v>
      </c>
      <c r="G17" s="72">
        <f t="shared" si="3"/>
        <v>7.4750785949045371</v>
      </c>
      <c r="H17" s="73">
        <f t="shared" si="4"/>
        <v>9.11</v>
      </c>
      <c r="I17" s="77">
        <f t="shared" si="0"/>
        <v>16.585078594904537</v>
      </c>
      <c r="J17" s="74">
        <f t="shared" si="1"/>
        <v>1.6349214050954624</v>
      </c>
      <c r="K17" s="78">
        <f t="shared" si="2"/>
        <v>9.11</v>
      </c>
      <c r="L17" s="78">
        <f>K17*24</f>
        <v>218.64</v>
      </c>
    </row>
    <row r="18" spans="1:12" x14ac:dyDescent="0.35">
      <c r="A18" s="75">
        <v>11</v>
      </c>
      <c r="B18" s="79" t="s">
        <v>267</v>
      </c>
      <c r="C18" s="76" t="s">
        <v>325</v>
      </c>
      <c r="D18" s="70">
        <v>18.87</v>
      </c>
      <c r="E18" s="71">
        <v>12.78</v>
      </c>
      <c r="F18" s="70">
        <v>9.58</v>
      </c>
      <c r="G18" s="72">
        <f t="shared" si="3"/>
        <v>4.7193255167802688</v>
      </c>
      <c r="H18" s="73">
        <f t="shared" si="4"/>
        <v>13.743333333333332</v>
      </c>
      <c r="I18" s="77">
        <f t="shared" si="0"/>
        <v>18.462658850113602</v>
      </c>
      <c r="J18" s="74">
        <f t="shared" si="1"/>
        <v>9.0240078165530626</v>
      </c>
      <c r="K18" s="78">
        <f t="shared" si="2"/>
        <v>13.743333333333332</v>
      </c>
      <c r="L18" s="78">
        <f>K18*2</f>
        <v>27.486666666666665</v>
      </c>
    </row>
    <row r="19" spans="1:12" ht="29" x14ac:dyDescent="0.35">
      <c r="A19" s="75">
        <v>12</v>
      </c>
      <c r="B19" s="79" t="s">
        <v>281</v>
      </c>
      <c r="C19" s="76" t="s">
        <v>336</v>
      </c>
      <c r="D19" s="70">
        <v>42.5</v>
      </c>
      <c r="E19" s="71">
        <v>77.05</v>
      </c>
      <c r="F19" s="70">
        <v>28.64</v>
      </c>
      <c r="G19" s="72">
        <f t="shared" si="3"/>
        <v>24.931005461740458</v>
      </c>
      <c r="H19" s="73">
        <f t="shared" si="4"/>
        <v>49.396666666666668</v>
      </c>
      <c r="I19" s="77">
        <f t="shared" si="0"/>
        <v>74.32767212840713</v>
      </c>
      <c r="J19" s="74">
        <f t="shared" si="1"/>
        <v>24.46566120492621</v>
      </c>
      <c r="K19" s="78">
        <f t="shared" si="2"/>
        <v>49.396666666666668</v>
      </c>
      <c r="L19" s="78">
        <f>K19*24</f>
        <v>1185.52</v>
      </c>
    </row>
    <row r="20" spans="1:12" ht="29" x14ac:dyDescent="0.35">
      <c r="A20" s="75">
        <v>13</v>
      </c>
      <c r="B20" s="79" t="s">
        <v>329</v>
      </c>
      <c r="C20" s="76" t="s">
        <v>337</v>
      </c>
      <c r="D20" s="70">
        <v>7.15</v>
      </c>
      <c r="E20" s="71">
        <v>6.45</v>
      </c>
      <c r="F20" s="70">
        <v>5.63</v>
      </c>
      <c r="G20" s="72">
        <f t="shared" si="3"/>
        <v>0.76078906406440971</v>
      </c>
      <c r="H20" s="73">
        <f t="shared" si="4"/>
        <v>6.41</v>
      </c>
      <c r="I20" s="77">
        <f t="shared" si="0"/>
        <v>7.1707890640644099</v>
      </c>
      <c r="J20" s="74">
        <f t="shared" si="1"/>
        <v>5.6492109359355904</v>
      </c>
      <c r="K20" s="78">
        <f t="shared" si="2"/>
        <v>6.41</v>
      </c>
      <c r="L20" s="78">
        <f>K20*24</f>
        <v>153.84</v>
      </c>
    </row>
    <row r="21" spans="1:12" ht="29" x14ac:dyDescent="0.35">
      <c r="A21" s="75">
        <v>14</v>
      </c>
      <c r="B21" s="79" t="s">
        <v>268</v>
      </c>
      <c r="C21" s="76" t="s">
        <v>325</v>
      </c>
      <c r="D21" s="70">
        <v>9.56</v>
      </c>
      <c r="E21" s="71">
        <v>7.19</v>
      </c>
      <c r="F21" s="70">
        <v>5</v>
      </c>
      <c r="G21" s="72">
        <f t="shared" si="3"/>
        <v>2.2805920283996457</v>
      </c>
      <c r="H21" s="73">
        <f t="shared" si="4"/>
        <v>7.25</v>
      </c>
      <c r="I21" s="77">
        <f t="shared" si="0"/>
        <v>9.5305920283996457</v>
      </c>
      <c r="J21" s="74">
        <f t="shared" si="1"/>
        <v>4.9694079716003543</v>
      </c>
      <c r="K21" s="78">
        <f t="shared" si="2"/>
        <v>7.25</v>
      </c>
      <c r="L21" s="78">
        <f>K21*2</f>
        <v>14.5</v>
      </c>
    </row>
    <row r="22" spans="1:12" ht="43.5" x14ac:dyDescent="0.35">
      <c r="A22" s="75">
        <v>15</v>
      </c>
      <c r="B22" s="79" t="s">
        <v>269</v>
      </c>
      <c r="C22" s="76" t="s">
        <v>338</v>
      </c>
      <c r="D22" s="70">
        <v>6.19</v>
      </c>
      <c r="E22" s="71">
        <v>7.94</v>
      </c>
      <c r="F22" s="70">
        <v>3.98</v>
      </c>
      <c r="G22" s="72">
        <f t="shared" si="3"/>
        <v>1.9844478661162515</v>
      </c>
      <c r="H22" s="73">
        <f t="shared" si="4"/>
        <v>6.0366666666666662</v>
      </c>
      <c r="I22" s="77">
        <f t="shared" si="0"/>
        <v>8.0211145327829172</v>
      </c>
      <c r="J22" s="74">
        <f t="shared" si="1"/>
        <v>4.0522188005504152</v>
      </c>
      <c r="K22" s="78">
        <f t="shared" si="2"/>
        <v>6.0366666666666662</v>
      </c>
      <c r="L22" s="78">
        <f t="shared" si="8"/>
        <v>72.44</v>
      </c>
    </row>
    <row r="23" spans="1:12" ht="43.5" x14ac:dyDescent="0.35">
      <c r="A23" s="75">
        <v>16</v>
      </c>
      <c r="B23" s="79" t="s">
        <v>282</v>
      </c>
      <c r="C23" s="76" t="s">
        <v>339</v>
      </c>
      <c r="D23" s="70">
        <v>5.29</v>
      </c>
      <c r="E23" s="71">
        <v>9.4700000000000006</v>
      </c>
      <c r="F23" s="70">
        <v>5.94</v>
      </c>
      <c r="G23" s="72">
        <f t="shared" si="3"/>
        <v>2.2492887764802409</v>
      </c>
      <c r="H23" s="73">
        <f t="shared" si="4"/>
        <v>6.9000000000000012</v>
      </c>
      <c r="I23" s="77">
        <f t="shared" si="0"/>
        <v>9.1492887764802422</v>
      </c>
      <c r="J23" s="74">
        <f t="shared" si="1"/>
        <v>4.6507112235197603</v>
      </c>
      <c r="K23" s="78">
        <f t="shared" si="2"/>
        <v>6.9000000000000012</v>
      </c>
      <c r="L23" s="78">
        <f t="shared" si="8"/>
        <v>82.800000000000011</v>
      </c>
    </row>
    <row r="24" spans="1:12" x14ac:dyDescent="0.35">
      <c r="A24" s="75">
        <v>17</v>
      </c>
      <c r="B24" s="79" t="s">
        <v>283</v>
      </c>
      <c r="C24" s="76" t="s">
        <v>325</v>
      </c>
      <c r="D24" s="70">
        <v>2.99</v>
      </c>
      <c r="E24" s="71">
        <v>4.3899999999999997</v>
      </c>
      <c r="F24" s="70">
        <v>4.33</v>
      </c>
      <c r="G24" s="72">
        <f t="shared" si="3"/>
        <v>0.7915385861304115</v>
      </c>
      <c r="H24" s="73">
        <f t="shared" si="4"/>
        <v>3.9033333333333338</v>
      </c>
      <c r="I24" s="77">
        <f t="shared" si="0"/>
        <v>4.6948719194637452</v>
      </c>
      <c r="J24" s="74">
        <f t="shared" si="1"/>
        <v>3.1117947472029224</v>
      </c>
      <c r="K24" s="78">
        <f t="shared" si="2"/>
        <v>3.9033333333333338</v>
      </c>
      <c r="L24" s="78">
        <f>K24*4</f>
        <v>15.613333333333335</v>
      </c>
    </row>
    <row r="25" spans="1:12" ht="29" x14ac:dyDescent="0.35">
      <c r="A25" s="75">
        <v>18</v>
      </c>
      <c r="B25" s="82" t="s">
        <v>284</v>
      </c>
      <c r="C25" s="76" t="s">
        <v>325</v>
      </c>
      <c r="D25" s="70">
        <v>5.7</v>
      </c>
      <c r="E25" s="71">
        <v>6.11</v>
      </c>
      <c r="F25" s="70">
        <v>8.69</v>
      </c>
      <c r="G25" s="72">
        <f t="shared" si="3"/>
        <v>1.6209359436243398</v>
      </c>
      <c r="H25" s="73">
        <f t="shared" si="4"/>
        <v>6.833333333333333</v>
      </c>
      <c r="I25" s="77">
        <f t="shared" si="0"/>
        <v>8.4542692769576728</v>
      </c>
      <c r="J25" s="74">
        <f t="shared" si="1"/>
        <v>5.2123973897089932</v>
      </c>
      <c r="K25" s="78">
        <f t="shared" si="2"/>
        <v>6.833333333333333</v>
      </c>
      <c r="L25" s="78">
        <f>K25*2</f>
        <v>13.666666666666666</v>
      </c>
    </row>
    <row r="26" spans="1:12" ht="29" x14ac:dyDescent="0.35">
      <c r="A26" s="75">
        <v>19</v>
      </c>
      <c r="B26" s="79" t="s">
        <v>285</v>
      </c>
      <c r="C26" s="76" t="s">
        <v>325</v>
      </c>
      <c r="D26" s="70">
        <v>10.9</v>
      </c>
      <c r="E26" s="71">
        <v>8.7100000000000009</v>
      </c>
      <c r="F26" s="70">
        <v>8.2799999999999994</v>
      </c>
      <c r="G26" s="72">
        <f t="shared" si="3"/>
        <v>1.4050741380202436</v>
      </c>
      <c r="H26" s="73">
        <f t="shared" si="4"/>
        <v>9.2966666666666669</v>
      </c>
      <c r="I26" s="77">
        <f t="shared" si="0"/>
        <v>10.70174080468691</v>
      </c>
      <c r="J26" s="74">
        <f t="shared" si="1"/>
        <v>7.8915925286464237</v>
      </c>
      <c r="K26" s="78">
        <f t="shared" si="2"/>
        <v>9.2966666666666669</v>
      </c>
      <c r="L26" s="78">
        <f>K26*2</f>
        <v>18.593333333333334</v>
      </c>
    </row>
    <row r="27" spans="1:12" ht="29" x14ac:dyDescent="0.35">
      <c r="A27" s="75">
        <v>20</v>
      </c>
      <c r="B27" s="79" t="s">
        <v>286</v>
      </c>
      <c r="C27" s="69" t="s">
        <v>325</v>
      </c>
      <c r="D27" s="70">
        <v>98.65</v>
      </c>
      <c r="E27" s="71">
        <v>119.6</v>
      </c>
      <c r="F27" s="70">
        <v>107.72</v>
      </c>
      <c r="G27" s="72">
        <f t="shared" si="3"/>
        <v>10.506361564944033</v>
      </c>
      <c r="H27" s="73">
        <f t="shared" si="4"/>
        <v>108.65666666666668</v>
      </c>
      <c r="I27" s="77">
        <f t="shared" si="0"/>
        <v>119.16302823161071</v>
      </c>
      <c r="J27" s="74">
        <f t="shared" si="1"/>
        <v>98.150305101722651</v>
      </c>
      <c r="K27" s="78">
        <f t="shared" si="2"/>
        <v>108.65666666666668</v>
      </c>
      <c r="L27" s="78">
        <f>K27*2</f>
        <v>217.31333333333336</v>
      </c>
    </row>
    <row r="28" spans="1:12" ht="29" x14ac:dyDescent="0.35">
      <c r="A28" s="75">
        <v>21</v>
      </c>
      <c r="B28" s="79" t="s">
        <v>287</v>
      </c>
      <c r="C28" s="76" t="s">
        <v>325</v>
      </c>
      <c r="D28" s="70">
        <v>63.94</v>
      </c>
      <c r="E28" s="71">
        <v>79.989999999999995</v>
      </c>
      <c r="F28" s="70">
        <v>75.97</v>
      </c>
      <c r="G28" s="72">
        <f t="shared" si="3"/>
        <v>8.3514848979088736</v>
      </c>
      <c r="H28" s="73">
        <f t="shared" si="4"/>
        <v>73.3</v>
      </c>
      <c r="I28" s="77">
        <f t="shared" si="0"/>
        <v>81.651484897908873</v>
      </c>
      <c r="J28" s="74">
        <f t="shared" si="1"/>
        <v>64.948515102091122</v>
      </c>
      <c r="K28" s="78">
        <f t="shared" si="2"/>
        <v>73.3</v>
      </c>
      <c r="L28" s="78">
        <f>K28*2</f>
        <v>146.6</v>
      </c>
    </row>
    <row r="29" spans="1:12" ht="43.5" x14ac:dyDescent="0.35">
      <c r="A29" s="75">
        <v>22</v>
      </c>
      <c r="B29" s="79" t="s">
        <v>330</v>
      </c>
      <c r="C29" s="76" t="s">
        <v>337</v>
      </c>
      <c r="D29" s="70">
        <v>10.45</v>
      </c>
      <c r="E29" s="71">
        <v>5.48</v>
      </c>
      <c r="F29" s="70">
        <v>23.17</v>
      </c>
      <c r="G29" s="72">
        <f t="shared" si="3"/>
        <v>9.1235537666708204</v>
      </c>
      <c r="H29" s="73">
        <f t="shared" si="4"/>
        <v>13.033333333333333</v>
      </c>
      <c r="I29" s="77">
        <f t="shared" si="0"/>
        <v>22.156887100004155</v>
      </c>
      <c r="J29" s="74">
        <f t="shared" si="1"/>
        <v>3.9097795666625128</v>
      </c>
      <c r="K29" s="78">
        <f t="shared" si="2"/>
        <v>13.033333333333333</v>
      </c>
      <c r="L29" s="78">
        <f>K29*24</f>
        <v>312.8</v>
      </c>
    </row>
    <row r="30" spans="1:12" x14ac:dyDescent="0.35">
      <c r="A30" s="75">
        <v>23</v>
      </c>
      <c r="B30" s="79" t="s">
        <v>331</v>
      </c>
      <c r="C30" s="76" t="s">
        <v>337</v>
      </c>
      <c r="D30" s="70">
        <v>9.09</v>
      </c>
      <c r="E30" s="71">
        <v>7.43</v>
      </c>
      <c r="F30" s="70">
        <v>6.54</v>
      </c>
      <c r="G30" s="72">
        <f t="shared" si="3"/>
        <v>1.2942307882805646</v>
      </c>
      <c r="H30" s="73">
        <f t="shared" si="4"/>
        <v>7.6866666666666665</v>
      </c>
      <c r="I30" s="77">
        <f t="shared" si="0"/>
        <v>8.9808974549472307</v>
      </c>
      <c r="J30" s="74">
        <f t="shared" si="1"/>
        <v>6.3924358783861024</v>
      </c>
      <c r="K30" s="78">
        <f t="shared" si="2"/>
        <v>7.6866666666666665</v>
      </c>
      <c r="L30" s="78">
        <f>K30*24</f>
        <v>184.48</v>
      </c>
    </row>
    <row r="31" spans="1:12" x14ac:dyDescent="0.35">
      <c r="A31" s="75">
        <v>24</v>
      </c>
      <c r="B31" s="79" t="s">
        <v>288</v>
      </c>
      <c r="C31" s="76" t="s">
        <v>264</v>
      </c>
      <c r="D31" s="70">
        <v>61.91</v>
      </c>
      <c r="E31" s="71">
        <v>8.73</v>
      </c>
      <c r="F31" s="70">
        <v>9.82</v>
      </c>
      <c r="G31" s="72">
        <f t="shared" si="3"/>
        <v>30.393718100949737</v>
      </c>
      <c r="H31" s="73">
        <f t="shared" si="4"/>
        <v>26.820000000000004</v>
      </c>
      <c r="I31" s="77">
        <f t="shared" si="0"/>
        <v>57.213718100949741</v>
      </c>
      <c r="J31" s="74">
        <f t="shared" si="1"/>
        <v>-3.5737181009497334</v>
      </c>
      <c r="K31" s="78">
        <f t="shared" si="2"/>
        <v>26.820000000000004</v>
      </c>
      <c r="L31" s="78">
        <f>K31*4</f>
        <v>107.28000000000002</v>
      </c>
    </row>
    <row r="32" spans="1:12" x14ac:dyDescent="0.35">
      <c r="A32" s="75">
        <v>25</v>
      </c>
      <c r="B32" s="79" t="s">
        <v>289</v>
      </c>
      <c r="C32" s="76" t="s">
        <v>325</v>
      </c>
      <c r="D32" s="70">
        <v>35.549999999999997</v>
      </c>
      <c r="E32" s="71">
        <v>60</v>
      </c>
      <c r="F32" s="70">
        <v>69.290000000000006</v>
      </c>
      <c r="G32" s="72">
        <f t="shared" si="3"/>
        <v>17.428397325437974</v>
      </c>
      <c r="H32" s="73">
        <f t="shared" si="4"/>
        <v>54.946666666666665</v>
      </c>
      <c r="I32" s="77">
        <f t="shared" si="0"/>
        <v>72.375063992104643</v>
      </c>
      <c r="J32" s="74">
        <f t="shared" si="1"/>
        <v>37.518269341228688</v>
      </c>
      <c r="K32" s="78">
        <f t="shared" si="2"/>
        <v>54.946666666666665</v>
      </c>
      <c r="L32" s="78">
        <f>K32*2</f>
        <v>109.89333333333333</v>
      </c>
    </row>
    <row r="33" spans="1:12" x14ac:dyDescent="0.35">
      <c r="A33" s="75">
        <v>26</v>
      </c>
      <c r="B33" s="82" t="s">
        <v>270</v>
      </c>
      <c r="C33" s="76" t="s">
        <v>325</v>
      </c>
      <c r="D33" s="70">
        <v>6.17</v>
      </c>
      <c r="E33" s="71">
        <v>4.07</v>
      </c>
      <c r="F33" s="70">
        <v>6.24</v>
      </c>
      <c r="G33" s="72">
        <f t="shared" si="3"/>
        <v>1.2331396244275599</v>
      </c>
      <c r="H33" s="73">
        <f t="shared" si="4"/>
        <v>5.4933333333333332</v>
      </c>
      <c r="I33" s="77">
        <f t="shared" si="0"/>
        <v>6.726472957760893</v>
      </c>
      <c r="J33" s="74">
        <f t="shared" si="1"/>
        <v>4.2601937089057733</v>
      </c>
      <c r="K33" s="78">
        <f t="shared" si="2"/>
        <v>5.4933333333333332</v>
      </c>
      <c r="L33" s="78">
        <f>K33*4</f>
        <v>21.973333333333333</v>
      </c>
    </row>
    <row r="34" spans="1:12" ht="29" x14ac:dyDescent="0.35">
      <c r="A34" s="75">
        <v>27</v>
      </c>
      <c r="B34" s="79" t="s">
        <v>290</v>
      </c>
      <c r="C34" s="69" t="s">
        <v>325</v>
      </c>
      <c r="D34" s="70">
        <v>5.69</v>
      </c>
      <c r="E34" s="71">
        <v>6.2</v>
      </c>
      <c r="F34" s="70">
        <v>4.53</v>
      </c>
      <c r="G34" s="72">
        <f t="shared" si="3"/>
        <v>0.85582319046244926</v>
      </c>
      <c r="H34" s="73">
        <f t="shared" si="4"/>
        <v>5.4733333333333336</v>
      </c>
      <c r="I34" s="77">
        <f t="shared" si="0"/>
        <v>6.329156523795783</v>
      </c>
      <c r="J34" s="74">
        <f t="shared" si="1"/>
        <v>4.6175101428708842</v>
      </c>
      <c r="K34" s="78">
        <f t="shared" si="2"/>
        <v>5.4733333333333336</v>
      </c>
      <c r="L34" s="78">
        <f>K34*4</f>
        <v>21.893333333333334</v>
      </c>
    </row>
    <row r="35" spans="1:12" ht="43.5" x14ac:dyDescent="0.35">
      <c r="A35" s="75">
        <v>28</v>
      </c>
      <c r="B35" s="79" t="s">
        <v>291</v>
      </c>
      <c r="C35" s="76" t="s">
        <v>340</v>
      </c>
      <c r="D35" s="70">
        <v>17.62</v>
      </c>
      <c r="E35" s="71">
        <v>25.28</v>
      </c>
      <c r="F35" s="70">
        <v>35.22</v>
      </c>
      <c r="G35" s="72">
        <f t="shared" si="3"/>
        <v>8.8245793100861256</v>
      </c>
      <c r="H35" s="73">
        <f t="shared" si="4"/>
        <v>26.040000000000003</v>
      </c>
      <c r="I35" s="77">
        <f t="shared" si="0"/>
        <v>34.864579310086128</v>
      </c>
      <c r="J35" s="74">
        <f t="shared" si="1"/>
        <v>17.215420689913877</v>
      </c>
      <c r="K35" s="78">
        <f t="shared" si="2"/>
        <v>26.040000000000003</v>
      </c>
      <c r="L35" s="78">
        <f>K35*24</f>
        <v>624.96</v>
      </c>
    </row>
    <row r="36" spans="1:12" x14ac:dyDescent="0.35">
      <c r="A36" s="75">
        <v>29</v>
      </c>
      <c r="B36" s="82" t="s">
        <v>292</v>
      </c>
      <c r="C36" s="76" t="s">
        <v>325</v>
      </c>
      <c r="D36" s="70">
        <v>12.7</v>
      </c>
      <c r="E36" s="71">
        <v>16.149999999999999</v>
      </c>
      <c r="F36" s="70">
        <v>12.91</v>
      </c>
      <c r="G36" s="72">
        <f t="shared" si="3"/>
        <v>1.9340889328053155</v>
      </c>
      <c r="H36" s="73">
        <f t="shared" si="4"/>
        <v>13.92</v>
      </c>
      <c r="I36" s="77">
        <f t="shared" si="0"/>
        <v>15.854088932805315</v>
      </c>
      <c r="J36" s="74">
        <f t="shared" si="1"/>
        <v>11.985911067194685</v>
      </c>
      <c r="K36" s="78">
        <f t="shared" si="2"/>
        <v>13.92</v>
      </c>
      <c r="L36" s="78">
        <f>K36*2</f>
        <v>27.84</v>
      </c>
    </row>
    <row r="37" spans="1:12" x14ac:dyDescent="0.35">
      <c r="A37" s="75">
        <v>30</v>
      </c>
      <c r="B37" s="79" t="s">
        <v>293</v>
      </c>
      <c r="C37" s="76" t="s">
        <v>325</v>
      </c>
      <c r="D37" s="70">
        <v>25</v>
      </c>
      <c r="E37" s="71">
        <v>45.58</v>
      </c>
      <c r="F37" s="70">
        <v>32.380000000000003</v>
      </c>
      <c r="G37" s="72">
        <f t="shared" si="3"/>
        <v>10.426255320104131</v>
      </c>
      <c r="H37" s="73">
        <f t="shared" si="4"/>
        <v>34.32</v>
      </c>
      <c r="I37" s="77">
        <f t="shared" si="0"/>
        <v>44.746255320104133</v>
      </c>
      <c r="J37" s="74">
        <f t="shared" si="1"/>
        <v>23.893744679895867</v>
      </c>
      <c r="K37" s="78">
        <f t="shared" si="2"/>
        <v>34.32</v>
      </c>
      <c r="L37" s="78">
        <f>K37*4</f>
        <v>137.28</v>
      </c>
    </row>
    <row r="38" spans="1:12" x14ac:dyDescent="0.35">
      <c r="A38" s="75">
        <v>31</v>
      </c>
      <c r="B38" s="79" t="s">
        <v>294</v>
      </c>
      <c r="C38" s="69" t="s">
        <v>325</v>
      </c>
      <c r="D38" s="70">
        <v>10.8</v>
      </c>
      <c r="E38" s="71">
        <v>5.8</v>
      </c>
      <c r="F38" s="70">
        <v>5.1100000000000003</v>
      </c>
      <c r="G38" s="72">
        <f t="shared" si="3"/>
        <v>3.1051623682721239</v>
      </c>
      <c r="H38" s="73">
        <f t="shared" si="4"/>
        <v>7.2366666666666672</v>
      </c>
      <c r="I38" s="77">
        <f t="shared" si="0"/>
        <v>10.34182903493879</v>
      </c>
      <c r="J38" s="74">
        <f t="shared" si="1"/>
        <v>4.1315042983945434</v>
      </c>
      <c r="K38" s="78">
        <f t="shared" si="2"/>
        <v>7.2366666666666672</v>
      </c>
      <c r="L38" s="78">
        <f>K38*4</f>
        <v>28.946666666666669</v>
      </c>
    </row>
    <row r="39" spans="1:12" x14ac:dyDescent="0.35">
      <c r="A39" s="75">
        <v>32</v>
      </c>
      <c r="B39" s="79" t="s">
        <v>295</v>
      </c>
      <c r="C39" s="69" t="s">
        <v>325</v>
      </c>
      <c r="D39" s="70">
        <v>28.49</v>
      </c>
      <c r="E39" s="71">
        <v>20.2</v>
      </c>
      <c r="F39" s="70">
        <v>27.15</v>
      </c>
      <c r="G39" s="72">
        <f t="shared" si="3"/>
        <v>4.4501348294180856</v>
      </c>
      <c r="H39" s="73">
        <f t="shared" si="4"/>
        <v>25.28</v>
      </c>
      <c r="I39" s="77">
        <f t="shared" si="0"/>
        <v>29.730134829418088</v>
      </c>
      <c r="J39" s="74">
        <f t="shared" si="1"/>
        <v>20.829865170581915</v>
      </c>
      <c r="K39" s="78">
        <f t="shared" si="2"/>
        <v>25.28</v>
      </c>
      <c r="L39" s="78">
        <f>K39*2</f>
        <v>50.56</v>
      </c>
    </row>
    <row r="40" spans="1:12" ht="29" x14ac:dyDescent="0.35">
      <c r="A40" s="75">
        <v>33</v>
      </c>
      <c r="B40" s="79" t="s">
        <v>271</v>
      </c>
      <c r="C40" s="69" t="s">
        <v>341</v>
      </c>
      <c r="D40" s="70">
        <v>22.4</v>
      </c>
      <c r="E40" s="71">
        <v>21.18</v>
      </c>
      <c r="F40" s="70">
        <v>14.25</v>
      </c>
      <c r="G40" s="72">
        <f t="shared" si="3"/>
        <v>4.3957517369994097</v>
      </c>
      <c r="H40" s="73">
        <f t="shared" si="4"/>
        <v>19.276666666666667</v>
      </c>
      <c r="I40" s="77">
        <f t="shared" si="0"/>
        <v>23.672418403666079</v>
      </c>
      <c r="J40" s="74">
        <f t="shared" si="1"/>
        <v>14.880914929667258</v>
      </c>
      <c r="K40" s="78">
        <f t="shared" si="2"/>
        <v>19.276666666666667</v>
      </c>
      <c r="L40" s="78">
        <f>K40*24</f>
        <v>462.64</v>
      </c>
    </row>
    <row r="41" spans="1:12" ht="29" x14ac:dyDescent="0.35">
      <c r="A41" s="75">
        <v>34</v>
      </c>
      <c r="B41" s="79" t="s">
        <v>332</v>
      </c>
      <c r="C41" s="69" t="s">
        <v>342</v>
      </c>
      <c r="D41" s="70">
        <v>13.89</v>
      </c>
      <c r="E41" s="71">
        <v>15.16</v>
      </c>
      <c r="F41" s="70">
        <v>17.559999999999999</v>
      </c>
      <c r="G41" s="72">
        <f t="shared" si="3"/>
        <v>1.8637685836319191</v>
      </c>
      <c r="H41" s="73">
        <f t="shared" si="4"/>
        <v>15.536666666666667</v>
      </c>
      <c r="I41" s="77">
        <f t="shared" si="0"/>
        <v>17.400435250298585</v>
      </c>
      <c r="J41" s="74">
        <f t="shared" si="1"/>
        <v>13.672898083034749</v>
      </c>
      <c r="K41" s="78">
        <f t="shared" si="2"/>
        <v>15.536666666666667</v>
      </c>
      <c r="L41" s="78">
        <f>K41*24</f>
        <v>372.88</v>
      </c>
    </row>
    <row r="42" spans="1:12" ht="43.5" x14ac:dyDescent="0.35">
      <c r="A42" s="75">
        <v>35</v>
      </c>
      <c r="B42" s="79" t="s">
        <v>296</v>
      </c>
      <c r="C42" s="69" t="s">
        <v>343</v>
      </c>
      <c r="D42" s="70">
        <v>20.03</v>
      </c>
      <c r="E42" s="71">
        <v>10.48</v>
      </c>
      <c r="F42" s="70">
        <v>10.210000000000001</v>
      </c>
      <c r="G42" s="72">
        <f t="shared" si="3"/>
        <v>5.5932667854603029</v>
      </c>
      <c r="H42" s="73">
        <f t="shared" si="4"/>
        <v>13.573333333333332</v>
      </c>
      <c r="I42" s="77">
        <f t="shared" si="0"/>
        <v>19.166600118793635</v>
      </c>
      <c r="J42" s="74">
        <f t="shared" si="1"/>
        <v>7.9800665478730295</v>
      </c>
      <c r="K42" s="78">
        <f t="shared" si="2"/>
        <v>13.573333333333332</v>
      </c>
      <c r="L42" s="78">
        <f>K42*24</f>
        <v>325.76</v>
      </c>
    </row>
    <row r="43" spans="1:12" ht="43.5" x14ac:dyDescent="0.35">
      <c r="A43" s="75">
        <v>36</v>
      </c>
      <c r="B43" s="79" t="s">
        <v>297</v>
      </c>
      <c r="C43" s="69" t="s">
        <v>343</v>
      </c>
      <c r="D43" s="70">
        <v>16.760000000000002</v>
      </c>
      <c r="E43" s="71">
        <v>22.1</v>
      </c>
      <c r="F43" s="70">
        <v>9.9</v>
      </c>
      <c r="G43" s="72">
        <f t="shared" si="3"/>
        <v>6.115761059208694</v>
      </c>
      <c r="H43" s="73">
        <f t="shared" si="4"/>
        <v>16.253333333333334</v>
      </c>
      <c r="I43" s="77">
        <f t="shared" si="0"/>
        <v>22.369094392542028</v>
      </c>
      <c r="J43" s="74">
        <f t="shared" si="1"/>
        <v>10.13757227412464</v>
      </c>
      <c r="K43" s="78">
        <f t="shared" si="2"/>
        <v>16.253333333333334</v>
      </c>
      <c r="L43" s="78">
        <f>K43*24</f>
        <v>390.08000000000004</v>
      </c>
    </row>
    <row r="44" spans="1:12" x14ac:dyDescent="0.35">
      <c r="A44" s="75">
        <v>37</v>
      </c>
      <c r="B44" s="79" t="s">
        <v>333</v>
      </c>
      <c r="C44" s="69" t="s">
        <v>344</v>
      </c>
      <c r="D44" s="70">
        <v>10.56</v>
      </c>
      <c r="E44" s="71">
        <v>12.74</v>
      </c>
      <c r="F44" s="70">
        <v>17.489999999999998</v>
      </c>
      <c r="G44" s="72">
        <f t="shared" si="3"/>
        <v>3.5435340175216758</v>
      </c>
      <c r="H44" s="73">
        <f t="shared" si="4"/>
        <v>13.596666666666666</v>
      </c>
      <c r="I44" s="77">
        <f t="shared" si="0"/>
        <v>17.140200684188343</v>
      </c>
      <c r="J44" s="74">
        <f t="shared" si="1"/>
        <v>10.05313264914499</v>
      </c>
      <c r="K44" s="78">
        <f t="shared" si="2"/>
        <v>13.596666666666666</v>
      </c>
      <c r="L44" s="78">
        <f>K44*24</f>
        <v>326.32</v>
      </c>
    </row>
    <row r="45" spans="1:12" x14ac:dyDescent="0.35">
      <c r="A45" s="75">
        <v>38</v>
      </c>
      <c r="B45" s="79" t="s">
        <v>272</v>
      </c>
      <c r="C45" s="69" t="s">
        <v>325</v>
      </c>
      <c r="D45" s="70">
        <v>12.65</v>
      </c>
      <c r="E45" s="71">
        <v>13.97</v>
      </c>
      <c r="F45" s="70">
        <v>25.23</v>
      </c>
      <c r="G45" s="72">
        <f t="shared" si="3"/>
        <v>6.9135904805920729</v>
      </c>
      <c r="H45" s="73">
        <f t="shared" si="4"/>
        <v>17.283333333333335</v>
      </c>
      <c r="I45" s="77">
        <f t="shared" si="0"/>
        <v>24.196923813925409</v>
      </c>
      <c r="J45" s="74">
        <f t="shared" si="1"/>
        <v>10.369742852741261</v>
      </c>
      <c r="K45" s="78">
        <f t="shared" si="2"/>
        <v>17.283333333333335</v>
      </c>
      <c r="L45" s="78">
        <f>K45*2</f>
        <v>34.56666666666667</v>
      </c>
    </row>
    <row r="46" spans="1:12" ht="43.5" x14ac:dyDescent="0.35">
      <c r="A46" s="75">
        <v>39</v>
      </c>
      <c r="B46" s="79" t="s">
        <v>298</v>
      </c>
      <c r="C46" s="69" t="s">
        <v>334</v>
      </c>
      <c r="D46" s="70">
        <v>327</v>
      </c>
      <c r="E46" s="71">
        <v>75.7</v>
      </c>
      <c r="F46" s="70">
        <v>250.33</v>
      </c>
      <c r="G46" s="72">
        <f t="shared" si="3"/>
        <v>128.79286716791944</v>
      </c>
      <c r="H46" s="73">
        <f t="shared" si="4"/>
        <v>217.67666666666665</v>
      </c>
      <c r="I46" s="77">
        <f t="shared" si="0"/>
        <v>346.46953383458606</v>
      </c>
      <c r="J46" s="74">
        <f t="shared" si="1"/>
        <v>88.883799498747209</v>
      </c>
      <c r="K46" s="78">
        <f t="shared" si="2"/>
        <v>217.67666666666665</v>
      </c>
      <c r="L46" s="78">
        <f>K46*1</f>
        <v>217.67666666666665</v>
      </c>
    </row>
    <row r="47" spans="1:12" ht="43.5" x14ac:dyDescent="0.35">
      <c r="A47" s="75">
        <v>40</v>
      </c>
      <c r="B47" s="79" t="s">
        <v>299</v>
      </c>
      <c r="C47" s="69" t="s">
        <v>334</v>
      </c>
      <c r="D47" s="70">
        <v>296.27999999999997</v>
      </c>
      <c r="E47" s="71">
        <v>293.95999999999998</v>
      </c>
      <c r="F47" s="70">
        <v>511.16</v>
      </c>
      <c r="G47" s="72">
        <f t="shared" si="3"/>
        <v>124.73614605772174</v>
      </c>
      <c r="H47" s="73">
        <f t="shared" si="4"/>
        <v>367.13333333333338</v>
      </c>
      <c r="I47" s="77">
        <f t="shared" ref="I47:I54" si="9">SUM(G47,H47)</f>
        <v>491.86947939105511</v>
      </c>
      <c r="J47" s="74">
        <f t="shared" ref="J47:J54" si="10">H47-G47</f>
        <v>242.39718727561166</v>
      </c>
      <c r="K47" s="78">
        <f t="shared" ref="K47:K54" si="11">H47</f>
        <v>367.13333333333338</v>
      </c>
      <c r="L47" s="78">
        <f t="shared" ref="L47" si="12">K47*1</f>
        <v>367.13333333333338</v>
      </c>
    </row>
    <row r="48" spans="1:12" ht="58" x14ac:dyDescent="0.35">
      <c r="A48" s="75">
        <v>41</v>
      </c>
      <c r="B48" s="79" t="s">
        <v>300</v>
      </c>
      <c r="C48" s="69" t="s">
        <v>325</v>
      </c>
      <c r="D48" s="70">
        <v>8.3699999999999992</v>
      </c>
      <c r="E48" s="71">
        <v>16.12</v>
      </c>
      <c r="F48" s="70">
        <v>9.1</v>
      </c>
      <c r="G48" s="72">
        <f t="shared" si="3"/>
        <v>4.2793262709605715</v>
      </c>
      <c r="H48" s="73">
        <f t="shared" si="4"/>
        <v>11.196666666666667</v>
      </c>
      <c r="I48" s="77">
        <f t="shared" si="9"/>
        <v>15.47599293762724</v>
      </c>
      <c r="J48" s="74">
        <f t="shared" si="10"/>
        <v>6.9173403957060957</v>
      </c>
      <c r="K48" s="78">
        <f t="shared" si="11"/>
        <v>11.196666666666667</v>
      </c>
      <c r="L48" s="78">
        <f>K48*4</f>
        <v>44.786666666666669</v>
      </c>
    </row>
    <row r="49" spans="1:12" ht="145" x14ac:dyDescent="0.35">
      <c r="A49" s="75">
        <v>42</v>
      </c>
      <c r="B49" s="79" t="s">
        <v>324</v>
      </c>
      <c r="C49" s="69" t="s">
        <v>346</v>
      </c>
      <c r="D49" s="70">
        <v>62.29</v>
      </c>
      <c r="E49" s="71">
        <v>53.03</v>
      </c>
      <c r="F49" s="70">
        <v>24.9</v>
      </c>
      <c r="G49" s="72">
        <f t="shared" si="3"/>
        <v>19.472444633378743</v>
      </c>
      <c r="H49" s="73">
        <f t="shared" si="4"/>
        <v>46.74</v>
      </c>
      <c r="I49" s="77">
        <f t="shared" si="9"/>
        <v>66.212444633378738</v>
      </c>
      <c r="J49" s="74">
        <f t="shared" si="10"/>
        <v>27.267555366621259</v>
      </c>
      <c r="K49" s="78">
        <f t="shared" si="11"/>
        <v>46.74</v>
      </c>
      <c r="L49" s="78">
        <f>K49*36</f>
        <v>1682.64</v>
      </c>
    </row>
    <row r="50" spans="1:12" ht="72.5" x14ac:dyDescent="0.35">
      <c r="A50" s="75">
        <v>43</v>
      </c>
      <c r="B50" s="79" t="s">
        <v>306</v>
      </c>
      <c r="C50" s="69" t="s">
        <v>345</v>
      </c>
      <c r="D50" s="70">
        <v>10.199999999999999</v>
      </c>
      <c r="E50" s="71">
        <v>10.42</v>
      </c>
      <c r="F50" s="70">
        <v>7.42</v>
      </c>
      <c r="G50" s="72">
        <f t="shared" si="3"/>
        <v>1.672164266252969</v>
      </c>
      <c r="H50" s="73">
        <f t="shared" si="4"/>
        <v>9.3466666666666658</v>
      </c>
      <c r="I50" s="77">
        <f t="shared" si="9"/>
        <v>11.018830932919634</v>
      </c>
      <c r="J50" s="74">
        <f t="shared" si="10"/>
        <v>7.6745024004136972</v>
      </c>
      <c r="K50" s="78">
        <f t="shared" si="11"/>
        <v>9.3466666666666658</v>
      </c>
      <c r="L50" s="78">
        <f>K50*24</f>
        <v>224.32</v>
      </c>
    </row>
    <row r="51" spans="1:12" ht="58" x14ac:dyDescent="0.35">
      <c r="A51" s="75">
        <v>44</v>
      </c>
      <c r="B51" s="79" t="s">
        <v>307</v>
      </c>
      <c r="C51" s="69" t="s">
        <v>349</v>
      </c>
      <c r="D51" s="70">
        <v>13.08</v>
      </c>
      <c r="E51" s="71">
        <v>8.5500000000000007</v>
      </c>
      <c r="F51" s="70">
        <v>20.89</v>
      </c>
      <c r="G51" s="72">
        <f t="shared" si="3"/>
        <v>6.2422298366315614</v>
      </c>
      <c r="H51" s="73">
        <f t="shared" si="4"/>
        <v>14.173333333333334</v>
      </c>
      <c r="I51" s="77">
        <f t="shared" si="9"/>
        <v>20.415563169964894</v>
      </c>
      <c r="J51" s="74">
        <f t="shared" si="10"/>
        <v>7.9311034967017724</v>
      </c>
      <c r="K51" s="78">
        <f t="shared" si="11"/>
        <v>14.173333333333334</v>
      </c>
      <c r="L51" s="78">
        <f>K51*12</f>
        <v>170.08</v>
      </c>
    </row>
    <row r="52" spans="1:12" ht="246" customHeight="1" x14ac:dyDescent="0.35">
      <c r="A52" s="75">
        <v>45</v>
      </c>
      <c r="B52" s="79" t="s">
        <v>313</v>
      </c>
      <c r="C52" s="76" t="s">
        <v>325</v>
      </c>
      <c r="D52" s="70">
        <v>4179.1099999999997</v>
      </c>
      <c r="E52" s="71">
        <v>2657.27</v>
      </c>
      <c r="F52" s="70">
        <v>760.94</v>
      </c>
      <c r="G52" s="72">
        <f t="shared" si="3"/>
        <v>1712.5006376349179</v>
      </c>
      <c r="H52" s="73">
        <f t="shared" si="4"/>
        <v>2532.44</v>
      </c>
      <c r="I52" s="77">
        <f t="shared" si="9"/>
        <v>4244.9406376349179</v>
      </c>
      <c r="J52" s="74">
        <f t="shared" si="10"/>
        <v>819.93936236508216</v>
      </c>
      <c r="K52" s="78">
        <f t="shared" si="11"/>
        <v>2532.44</v>
      </c>
      <c r="L52" s="78">
        <f>K52/5</f>
        <v>506.488</v>
      </c>
    </row>
    <row r="53" spans="1:12" ht="409.5" x14ac:dyDescent="0.35">
      <c r="A53" s="75">
        <v>46</v>
      </c>
      <c r="B53" s="79" t="s">
        <v>347</v>
      </c>
      <c r="C53" s="76" t="s">
        <v>325</v>
      </c>
      <c r="D53" s="70">
        <v>659.72</v>
      </c>
      <c r="E53" s="71">
        <v>793.9</v>
      </c>
      <c r="F53" s="70">
        <v>570.41</v>
      </c>
      <c r="G53" s="72">
        <f t="shared" si="3"/>
        <v>112.49320616523235</v>
      </c>
      <c r="H53" s="73">
        <f t="shared" si="4"/>
        <v>674.67666666666662</v>
      </c>
      <c r="I53" s="77">
        <f t="shared" si="9"/>
        <v>787.16987283189894</v>
      </c>
      <c r="J53" s="74">
        <f t="shared" si="10"/>
        <v>562.1834605014343</v>
      </c>
      <c r="K53" s="78">
        <f t="shared" si="11"/>
        <v>674.67666666666662</v>
      </c>
      <c r="L53" s="78">
        <f>K53/5</f>
        <v>134.93533333333332</v>
      </c>
    </row>
    <row r="54" spans="1:12" ht="116" x14ac:dyDescent="0.35">
      <c r="A54" s="75">
        <v>47</v>
      </c>
      <c r="B54" s="79" t="s">
        <v>348</v>
      </c>
      <c r="C54" s="76" t="s">
        <v>325</v>
      </c>
      <c r="D54" s="70">
        <v>1887.23</v>
      </c>
      <c r="E54" s="71">
        <v>2289.84</v>
      </c>
      <c r="F54" s="70">
        <v>1906.77</v>
      </c>
      <c r="G54" s="72">
        <f t="shared" si="3"/>
        <v>227.01661047891051</v>
      </c>
      <c r="H54" s="73">
        <f t="shared" si="4"/>
        <v>2027.9466666666667</v>
      </c>
      <c r="I54" s="77">
        <f t="shared" si="9"/>
        <v>2254.9632771455772</v>
      </c>
      <c r="J54" s="74">
        <f t="shared" si="10"/>
        <v>1800.9300561877562</v>
      </c>
      <c r="K54" s="78">
        <f t="shared" si="11"/>
        <v>2027.9466666666667</v>
      </c>
      <c r="L54" s="78">
        <f>K54/5</f>
        <v>405.58933333333334</v>
      </c>
    </row>
    <row r="55" spans="1:12" x14ac:dyDescent="0.35">
      <c r="A55" s="97" t="s">
        <v>304</v>
      </c>
      <c r="B55" s="98"/>
      <c r="C55" s="98"/>
      <c r="D55" s="98"/>
      <c r="E55" s="98"/>
      <c r="F55" s="98"/>
      <c r="G55" s="98"/>
      <c r="H55" s="98"/>
      <c r="I55" s="98"/>
      <c r="J55" s="98"/>
      <c r="K55" s="99"/>
      <c r="L55" s="84">
        <f>SUM(L7:L54)</f>
        <v>11680.869333333332</v>
      </c>
    </row>
    <row r="56" spans="1:12" x14ac:dyDescent="0.35">
      <c r="A56" s="97" t="s">
        <v>305</v>
      </c>
      <c r="B56" s="98"/>
      <c r="C56" s="98"/>
      <c r="D56" s="98"/>
      <c r="E56" s="98"/>
      <c r="F56" s="98"/>
      <c r="G56" s="98"/>
      <c r="H56" s="98"/>
      <c r="I56" s="98"/>
      <c r="J56" s="98"/>
      <c r="K56" s="99"/>
      <c r="L56" s="84">
        <f>L55/12</f>
        <v>973.40577777777764</v>
      </c>
    </row>
  </sheetData>
  <mergeCells count="12">
    <mergeCell ref="A55:K55"/>
    <mergeCell ref="A56:K56"/>
    <mergeCell ref="A1:K1"/>
    <mergeCell ref="L3:L6"/>
    <mergeCell ref="A3:A6"/>
    <mergeCell ref="B3:B6"/>
    <mergeCell ref="C3:C6"/>
    <mergeCell ref="G3:J4"/>
    <mergeCell ref="K3:K6"/>
    <mergeCell ref="G5:J5"/>
    <mergeCell ref="D5:F5"/>
    <mergeCell ref="D3:F4"/>
  </mergeCells>
  <pageMargins left="0.511811024" right="0.511811024" top="0.78740157499999996" bottom="0.78740157499999996" header="0.31496062000000002" footer="0.31496062000000002"/>
  <pageSetup paperSize="9" scale="29" orientation="portrait" r:id="rId1"/>
  <ignoredErrors>
    <ignoredError sqref="L7" 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9843B0-7903-44C7-A1E1-1C27E1030286}">
  <sheetPr>
    <pageSetUpPr fitToPage="1"/>
  </sheetPr>
  <dimension ref="A1:ALQ32"/>
  <sheetViews>
    <sheetView showGridLines="0" topLeftCell="A7" workbookViewId="0">
      <selection activeCell="H9" sqref="H9"/>
    </sheetView>
  </sheetViews>
  <sheetFormatPr defaultRowHeight="14.5" x14ac:dyDescent="0.35"/>
  <cols>
    <col min="1" max="1" width="53.26953125" style="12" customWidth="1"/>
    <col min="2" max="9" width="17.81640625" style="12" customWidth="1"/>
    <col min="10" max="992" width="9.1796875" style="12"/>
    <col min="993" max="1006" width="8.7265625" customWidth="1"/>
  </cols>
  <sheetData>
    <row r="1" spans="1:1005" ht="13.9" customHeight="1" x14ac:dyDescent="0.35"/>
    <row r="2" spans="1:1005" s="13" customFormat="1" ht="100" customHeight="1" x14ac:dyDescent="0.35">
      <c r="A2" s="1" t="s">
        <v>180</v>
      </c>
      <c r="B2" s="1" t="s">
        <v>158</v>
      </c>
      <c r="C2" s="1" t="s">
        <v>184</v>
      </c>
      <c r="D2" s="1" t="s">
        <v>185</v>
      </c>
      <c r="E2" s="1" t="s">
        <v>186</v>
      </c>
      <c r="F2" s="1" t="s">
        <v>187</v>
      </c>
      <c r="G2" s="1" t="s">
        <v>188</v>
      </c>
      <c r="H2" s="1" t="s">
        <v>189</v>
      </c>
      <c r="I2" s="1" t="s">
        <v>190</v>
      </c>
      <c r="ALE2" s="14"/>
      <c r="ALF2" s="14"/>
      <c r="ALG2" s="14"/>
      <c r="ALH2" s="14"/>
      <c r="ALI2" s="14"/>
      <c r="ALJ2" s="14"/>
      <c r="ALK2" s="14"/>
      <c r="ALL2" s="14"/>
      <c r="ALM2" s="14"/>
      <c r="ALN2" s="14"/>
      <c r="ALO2" s="14"/>
      <c r="ALP2" s="14"/>
      <c r="ALQ2"/>
    </row>
    <row r="3" spans="1:1005" s="51" customFormat="1" ht="90" customHeight="1" x14ac:dyDescent="0.35">
      <c r="A3" s="21" t="s">
        <v>182</v>
      </c>
      <c r="B3" s="17" t="s">
        <v>181</v>
      </c>
      <c r="C3" s="52">
        <v>5.4999999999999997E-3</v>
      </c>
      <c r="D3" s="52">
        <v>1.4999999999999999E-2</v>
      </c>
      <c r="E3" s="52">
        <v>5.0000000000000001E-3</v>
      </c>
      <c r="F3" s="52">
        <v>0.05</v>
      </c>
      <c r="G3" s="52">
        <v>6.1999999999999998E-3</v>
      </c>
      <c r="H3" s="52">
        <v>1.4999999999999999E-2</v>
      </c>
      <c r="I3" s="52">
        <v>1.4999999999999999E-2</v>
      </c>
    </row>
    <row r="5" spans="1:1005" x14ac:dyDescent="0.35">
      <c r="A5" s="1" t="s">
        <v>129</v>
      </c>
      <c r="B5" s="52">
        <f>AVERAGE(C3:I3)</f>
        <v>1.5957142857142857E-2</v>
      </c>
    </row>
    <row r="6" spans="1:1005" x14ac:dyDescent="0.35">
      <c r="A6" s="1" t="s">
        <v>157</v>
      </c>
      <c r="B6" s="52">
        <f>_xlfn.STDEV.S(C3:I3)</f>
        <v>1.5738896312729719E-2</v>
      </c>
      <c r="G6" s="33" t="s">
        <v>166</v>
      </c>
      <c r="H6" s="13">
        <f>COUNTIFS(C3:I3,"&gt;="&amp;B7,C3:I3,"&lt;="&amp;B8)</f>
        <v>6</v>
      </c>
    </row>
    <row r="7" spans="1:1005" x14ac:dyDescent="0.35">
      <c r="A7" s="1" t="s">
        <v>159</v>
      </c>
      <c r="B7" s="52">
        <f>B5-B6</f>
        <v>2.182465444131379E-4</v>
      </c>
      <c r="G7" s="33" t="s">
        <v>178</v>
      </c>
      <c r="H7" s="53">
        <f>_xlfn.STDEV.S(C3,D3,E3,G3,H3,I3)</f>
        <v>5.1808943886810397E-3</v>
      </c>
    </row>
    <row r="8" spans="1:1005" x14ac:dyDescent="0.35">
      <c r="A8" s="1" t="s">
        <v>160</v>
      </c>
      <c r="B8" s="52">
        <f>B5+B6</f>
        <v>3.1696039169872577E-2</v>
      </c>
      <c r="G8" s="33" t="s">
        <v>168</v>
      </c>
      <c r="H8" s="43">
        <f>H7/(AVERAGE(C3,D3,E3,G3,H3,I3))</f>
        <v>0.503814689336892</v>
      </c>
    </row>
    <row r="9" spans="1:1005" x14ac:dyDescent="0.35">
      <c r="A9" s="1" t="s">
        <v>161</v>
      </c>
      <c r="B9" s="52">
        <f>AVERAGEIFS(C3:I3,C3:I3,"&lt;="&amp;B8,C3:I3,"&gt;="&amp;B7)</f>
        <v>1.0283333333333334E-2</v>
      </c>
      <c r="G9" s="33" t="s">
        <v>171</v>
      </c>
      <c r="H9" s="13" t="str">
        <f>IF(H8&gt;=25%,"Mediana","Média")</f>
        <v>Mediana</v>
      </c>
    </row>
    <row r="10" spans="1:1005" x14ac:dyDescent="0.35">
      <c r="A10" s="1" t="s">
        <v>169</v>
      </c>
      <c r="B10" s="52">
        <f>MEDIAN(C3,D3,E3,G3,H3,I3)</f>
        <v>1.0599999999999998E-2</v>
      </c>
    </row>
    <row r="14" spans="1:1005" s="13" customFormat="1" ht="100" customHeight="1" x14ac:dyDescent="0.35">
      <c r="A14" s="1" t="s">
        <v>65</v>
      </c>
      <c r="B14" s="1" t="s">
        <v>158</v>
      </c>
      <c r="C14" s="1" t="s">
        <v>184</v>
      </c>
      <c r="D14" s="1" t="s">
        <v>185</v>
      </c>
      <c r="E14" s="1" t="s">
        <v>186</v>
      </c>
      <c r="F14" s="1" t="s">
        <v>187</v>
      </c>
      <c r="G14" s="1" t="s">
        <v>188</v>
      </c>
      <c r="H14" s="1" t="s">
        <v>189</v>
      </c>
      <c r="I14" s="1" t="s">
        <v>190</v>
      </c>
      <c r="ALE14" s="14"/>
      <c r="ALF14" s="14"/>
      <c r="ALG14" s="14"/>
      <c r="ALH14" s="14"/>
      <c r="ALI14" s="14"/>
      <c r="ALJ14" s="14"/>
      <c r="ALK14" s="14"/>
      <c r="ALL14" s="14"/>
      <c r="ALM14" s="14"/>
      <c r="ALN14" s="14"/>
      <c r="ALO14" s="14"/>
      <c r="ALP14" s="14"/>
      <c r="ALQ14"/>
    </row>
    <row r="15" spans="1:1005" s="51" customFormat="1" ht="59.25" customHeight="1" x14ac:dyDescent="0.35">
      <c r="A15" s="21" t="s">
        <v>183</v>
      </c>
      <c r="B15" s="17" t="s">
        <v>181</v>
      </c>
      <c r="C15" s="52">
        <v>5.3E-3</v>
      </c>
      <c r="D15" s="52">
        <v>1.4999999999999999E-2</v>
      </c>
      <c r="E15" s="52">
        <v>5.0000000000000001E-3</v>
      </c>
      <c r="F15" s="52">
        <v>5.0200000000000002E-2</v>
      </c>
      <c r="G15" s="52">
        <v>8.5000000000000006E-3</v>
      </c>
      <c r="H15" s="52">
        <v>1.7500000000000002E-2</v>
      </c>
      <c r="I15" s="52">
        <v>1.7500000000000002E-2</v>
      </c>
    </row>
    <row r="17" spans="1:1005" x14ac:dyDescent="0.35">
      <c r="A17" s="1" t="s">
        <v>129</v>
      </c>
      <c r="B17" s="52">
        <f>AVERAGE(C15:I15)</f>
        <v>1.6999999999999998E-2</v>
      </c>
    </row>
    <row r="18" spans="1:1005" x14ac:dyDescent="0.35">
      <c r="A18" s="1" t="s">
        <v>157</v>
      </c>
      <c r="B18" s="52">
        <f>_xlfn.STDEV.S(C15:I15)</f>
        <v>1.5598504201792346E-2</v>
      </c>
      <c r="G18" s="33" t="s">
        <v>166</v>
      </c>
      <c r="H18" s="13">
        <f>COUNTIFS(C15:I15,"&gt;="&amp;B19,C15:I15,"&lt;="&amp;B20)</f>
        <v>6</v>
      </c>
    </row>
    <row r="19" spans="1:1005" x14ac:dyDescent="0.35">
      <c r="A19" s="1" t="s">
        <v>159</v>
      </c>
      <c r="B19" s="52">
        <f>B17-B18</f>
        <v>1.4014957982076519E-3</v>
      </c>
      <c r="G19" s="33" t="s">
        <v>178</v>
      </c>
      <c r="H19" s="54">
        <f>_xlfn.STDEV.S(D15,F15,H15,I15)</f>
        <v>1.6808033793397726E-2</v>
      </c>
    </row>
    <row r="20" spans="1:1005" x14ac:dyDescent="0.35">
      <c r="A20" s="1" t="s">
        <v>160</v>
      </c>
      <c r="B20" s="52">
        <f>B17+B18</f>
        <v>3.2598504201792347E-2</v>
      </c>
      <c r="G20" s="33" t="s">
        <v>168</v>
      </c>
      <c r="H20" s="51">
        <f>H19/(AVERAGE(D15,F15,H15,I15))</f>
        <v>0.67097939295000897</v>
      </c>
    </row>
    <row r="21" spans="1:1005" x14ac:dyDescent="0.35">
      <c r="A21" s="1" t="s">
        <v>161</v>
      </c>
      <c r="B21" s="52">
        <f>AVERAGEIFS(C15:I15,C15:I15,"&lt;="&amp;B20,C15:I15,"&gt;="&amp;B19)</f>
        <v>1.1466666666666667E-2</v>
      </c>
      <c r="G21" s="33" t="s">
        <v>171</v>
      </c>
      <c r="H21" s="13" t="str">
        <f>IF(H20&gt;=25%,"Mediana","Média")</f>
        <v>Mediana</v>
      </c>
    </row>
    <row r="22" spans="1:1005" x14ac:dyDescent="0.35">
      <c r="A22" s="1" t="s">
        <v>169</v>
      </c>
      <c r="B22" s="52">
        <f>MEDIAN(D15,F15,H15,I15)</f>
        <v>1.7500000000000002E-2</v>
      </c>
    </row>
    <row r="28" spans="1:1005" s="12" customFormat="1" ht="13.9" customHeight="1" x14ac:dyDescent="0.35">
      <c r="ALE28"/>
      <c r="ALF28"/>
      <c r="ALG28"/>
      <c r="ALH28"/>
      <c r="ALI28"/>
      <c r="ALJ28"/>
      <c r="ALK28"/>
      <c r="ALL28"/>
      <c r="ALM28"/>
      <c r="ALN28"/>
      <c r="ALO28"/>
      <c r="ALP28"/>
      <c r="ALQ28"/>
    </row>
    <row r="32" spans="1:1005" s="12" customFormat="1" ht="13.9" customHeight="1" x14ac:dyDescent="0.35">
      <c r="ALE32"/>
      <c r="ALF32"/>
      <c r="ALG32"/>
      <c r="ALH32"/>
      <c r="ALI32"/>
      <c r="ALJ32"/>
      <c r="ALK32"/>
      <c r="ALL32"/>
      <c r="ALM32"/>
      <c r="ALN32"/>
      <c r="ALO32"/>
      <c r="ALP32"/>
      <c r="ALQ32"/>
    </row>
  </sheetData>
  <pageMargins left="0.511811024" right="0.511811024" top="0.78740157499999996" bottom="0.78740157499999996" header="0.31496062000000002" footer="0.31496062000000002"/>
  <pageSetup paperSize="9" scale="47"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DC4A9C-25A2-436F-96F9-B918D4A62976}">
  <sheetPr>
    <pageSetUpPr fitToPage="1"/>
  </sheetPr>
  <dimension ref="A1:V140"/>
  <sheetViews>
    <sheetView showGridLines="0" tabSelected="1" topLeftCell="C99" zoomScaleNormal="100" workbookViewId="0">
      <selection activeCell="K110" sqref="K110"/>
    </sheetView>
  </sheetViews>
  <sheetFormatPr defaultRowHeight="14.5" x14ac:dyDescent="0.35"/>
  <cols>
    <col min="1" max="1" width="12.26953125" customWidth="1"/>
    <col min="2" max="2" width="54.81640625" customWidth="1"/>
    <col min="3" max="3" width="13.7265625" customWidth="1"/>
    <col min="4" max="4" width="17.7265625" customWidth="1"/>
    <col min="5" max="5" width="13.7265625" customWidth="1"/>
    <col min="6" max="6" width="17.7265625" customWidth="1"/>
    <col min="7" max="7" width="13.7265625" customWidth="1"/>
    <col min="8" max="8" width="17.7265625" customWidth="1"/>
    <col min="9" max="9" width="13.7265625" customWidth="1"/>
    <col min="10" max="10" width="17.7265625" customWidth="1"/>
    <col min="11" max="11" width="13.7265625" customWidth="1"/>
    <col min="12" max="12" width="17.7265625" customWidth="1"/>
    <col min="13" max="13" width="13.7265625" customWidth="1"/>
    <col min="14" max="20" width="17.7265625" customWidth="1"/>
    <col min="21" max="21" width="13.7265625" customWidth="1"/>
    <col min="22" max="22" width="17.7265625" customWidth="1"/>
    <col min="23" max="23" width="13.7265625" customWidth="1"/>
    <col min="24" max="24" width="17.7265625" customWidth="1"/>
    <col min="25" max="25" width="13.7265625" customWidth="1"/>
    <col min="26" max="26" width="17.7265625" customWidth="1"/>
    <col min="27" max="27" width="13.7265625" customWidth="1"/>
    <col min="28" max="28" width="17.7265625" customWidth="1"/>
    <col min="29" max="33" width="8.7265625" customWidth="1"/>
    <col min="35" max="1029" width="8.7265625" customWidth="1"/>
  </cols>
  <sheetData>
    <row r="1" spans="1:10" x14ac:dyDescent="0.35">
      <c r="A1" s="113" t="s">
        <v>218</v>
      </c>
      <c r="B1" s="114"/>
      <c r="C1" s="114"/>
      <c r="D1" s="114"/>
      <c r="E1" s="114"/>
      <c r="F1" s="114"/>
      <c r="G1" s="114"/>
      <c r="H1" s="114"/>
      <c r="I1" s="114"/>
      <c r="J1" s="115"/>
    </row>
    <row r="2" spans="1:10" x14ac:dyDescent="0.35">
      <c r="A2" s="29" t="s">
        <v>0</v>
      </c>
      <c r="B2" s="27" t="s">
        <v>219</v>
      </c>
      <c r="C2" s="118" t="s">
        <v>233</v>
      </c>
      <c r="D2" s="119" t="s">
        <v>232</v>
      </c>
      <c r="E2" s="118" t="s">
        <v>233</v>
      </c>
      <c r="F2" s="119" t="s">
        <v>235</v>
      </c>
      <c r="G2" s="118" t="s">
        <v>233</v>
      </c>
      <c r="H2" s="119" t="s">
        <v>232</v>
      </c>
      <c r="I2" s="118" t="s">
        <v>233</v>
      </c>
      <c r="J2" s="119" t="s">
        <v>235</v>
      </c>
    </row>
    <row r="3" spans="1:10" x14ac:dyDescent="0.35">
      <c r="A3" s="29" t="s">
        <v>1</v>
      </c>
      <c r="B3" s="27" t="s">
        <v>220</v>
      </c>
      <c r="C3" s="97" t="s">
        <v>234</v>
      </c>
      <c r="D3" s="99" t="s">
        <v>234</v>
      </c>
      <c r="E3" s="97" t="s">
        <v>234</v>
      </c>
      <c r="F3" s="99" t="s">
        <v>234</v>
      </c>
      <c r="G3" s="97" t="s">
        <v>234</v>
      </c>
      <c r="H3" s="99" t="s">
        <v>234</v>
      </c>
      <c r="I3" s="97" t="s">
        <v>234</v>
      </c>
      <c r="J3" s="99" t="s">
        <v>234</v>
      </c>
    </row>
    <row r="4" spans="1:10" x14ac:dyDescent="0.35">
      <c r="A4" s="29" t="s">
        <v>2</v>
      </c>
      <c r="B4" s="27" t="s">
        <v>221</v>
      </c>
      <c r="C4" s="118">
        <v>2024</v>
      </c>
      <c r="D4" s="119"/>
      <c r="E4" s="118">
        <v>2024</v>
      </c>
      <c r="F4" s="119"/>
      <c r="G4" s="118">
        <v>2024</v>
      </c>
      <c r="H4" s="119"/>
      <c r="I4" s="118">
        <v>2024</v>
      </c>
      <c r="J4" s="119"/>
    </row>
    <row r="5" spans="1:10" x14ac:dyDescent="0.35">
      <c r="A5" s="29" t="s">
        <v>3</v>
      </c>
      <c r="B5" s="27" t="s">
        <v>222</v>
      </c>
      <c r="C5" s="118">
        <v>12</v>
      </c>
      <c r="D5" s="119"/>
      <c r="E5" s="118">
        <v>12</v>
      </c>
      <c r="F5" s="119"/>
      <c r="G5" s="118">
        <v>12</v>
      </c>
      <c r="H5" s="119"/>
      <c r="I5" s="118">
        <v>12</v>
      </c>
      <c r="J5" s="119"/>
    </row>
    <row r="7" spans="1:10" ht="14.5" customHeight="1" x14ac:dyDescent="0.35">
      <c r="A7" s="113" t="s">
        <v>223</v>
      </c>
      <c r="B7" s="114"/>
      <c r="C7" s="114"/>
      <c r="D7" s="114"/>
      <c r="E7" s="114"/>
      <c r="F7" s="114"/>
      <c r="G7" s="114"/>
      <c r="H7" s="114"/>
      <c r="I7" s="114"/>
      <c r="J7" s="115"/>
    </row>
    <row r="8" spans="1:10" x14ac:dyDescent="0.35">
      <c r="A8" s="29">
        <v>1</v>
      </c>
      <c r="B8" s="36" t="s">
        <v>224</v>
      </c>
      <c r="C8" s="97" t="s">
        <v>214</v>
      </c>
      <c r="D8" s="99"/>
      <c r="E8" s="97" t="s">
        <v>214</v>
      </c>
      <c r="F8" s="99"/>
      <c r="G8" s="97" t="s">
        <v>214</v>
      </c>
      <c r="H8" s="99"/>
      <c r="I8" s="97" t="s">
        <v>191</v>
      </c>
      <c r="J8" s="99"/>
    </row>
    <row r="9" spans="1:10" x14ac:dyDescent="0.35">
      <c r="A9" s="29" t="s">
        <v>0</v>
      </c>
      <c r="B9" s="27" t="s">
        <v>225</v>
      </c>
      <c r="C9" s="118" t="s">
        <v>236</v>
      </c>
      <c r="D9" s="119"/>
      <c r="E9" s="118" t="s">
        <v>236</v>
      </c>
      <c r="F9" s="119"/>
      <c r="G9" s="118" t="s">
        <v>236</v>
      </c>
      <c r="H9" s="119"/>
      <c r="I9" s="118" t="s">
        <v>236</v>
      </c>
      <c r="J9" s="119"/>
    </row>
    <row r="10" spans="1:10" x14ac:dyDescent="0.35">
      <c r="A10" s="29" t="s">
        <v>1</v>
      </c>
      <c r="B10" s="27" t="s">
        <v>226</v>
      </c>
      <c r="C10" s="118">
        <v>1</v>
      </c>
      <c r="D10" s="119"/>
      <c r="E10" s="118">
        <v>1</v>
      </c>
      <c r="F10" s="119"/>
      <c r="G10" s="118">
        <v>1</v>
      </c>
      <c r="H10" s="119"/>
      <c r="I10" s="118">
        <v>1</v>
      </c>
      <c r="J10" s="119"/>
    </row>
    <row r="11" spans="1:10" x14ac:dyDescent="0.35">
      <c r="A11" s="14"/>
      <c r="C11" s="61"/>
      <c r="D11" s="62"/>
      <c r="E11" s="61"/>
      <c r="F11" s="62"/>
      <c r="G11" s="61"/>
      <c r="I11" s="61"/>
      <c r="J11" s="62"/>
    </row>
    <row r="12" spans="1:10" ht="14.5" customHeight="1" x14ac:dyDescent="0.35">
      <c r="A12" s="113" t="s">
        <v>231</v>
      </c>
      <c r="B12" s="114"/>
      <c r="C12" s="114"/>
      <c r="D12" s="114"/>
      <c r="E12" s="114"/>
      <c r="F12" s="114"/>
      <c r="G12" s="114"/>
      <c r="H12" s="114"/>
      <c r="I12" s="114"/>
      <c r="J12" s="114"/>
    </row>
    <row r="13" spans="1:10" x14ac:dyDescent="0.35">
      <c r="A13" s="29">
        <v>1</v>
      </c>
      <c r="B13" s="27" t="s">
        <v>227</v>
      </c>
      <c r="C13" s="135" t="s">
        <v>214</v>
      </c>
      <c r="D13" s="136"/>
      <c r="E13" s="135" t="s">
        <v>214</v>
      </c>
      <c r="F13" s="136"/>
      <c r="G13" s="135" t="s">
        <v>214</v>
      </c>
      <c r="H13" s="136"/>
      <c r="I13" s="135" t="s">
        <v>191</v>
      </c>
      <c r="J13" s="136"/>
    </row>
    <row r="14" spans="1:10" x14ac:dyDescent="0.35">
      <c r="A14" s="29">
        <v>2</v>
      </c>
      <c r="B14" s="27" t="s">
        <v>228</v>
      </c>
      <c r="C14" s="118" t="s">
        <v>239</v>
      </c>
      <c r="D14" s="119"/>
      <c r="E14" s="118" t="s">
        <v>239</v>
      </c>
      <c r="F14" s="119"/>
      <c r="G14" s="118" t="s">
        <v>239</v>
      </c>
      <c r="H14" s="119"/>
      <c r="I14" s="118" t="s">
        <v>240</v>
      </c>
      <c r="J14" s="119"/>
    </row>
    <row r="15" spans="1:10" x14ac:dyDescent="0.35">
      <c r="A15" s="29">
        <v>3</v>
      </c>
      <c r="B15" s="27" t="s">
        <v>229</v>
      </c>
      <c r="C15" s="120">
        <v>1629.62</v>
      </c>
      <c r="D15" s="121"/>
      <c r="E15" s="133">
        <f>C15</f>
        <v>1629.62</v>
      </c>
      <c r="F15" s="134"/>
      <c r="G15" s="120">
        <f>C15</f>
        <v>1629.62</v>
      </c>
      <c r="H15" s="136"/>
      <c r="I15" s="120">
        <v>1629.62</v>
      </c>
      <c r="J15" s="121"/>
    </row>
    <row r="16" spans="1:10" x14ac:dyDescent="0.35">
      <c r="A16" s="29">
        <v>4</v>
      </c>
      <c r="B16" s="27" t="s">
        <v>230</v>
      </c>
      <c r="C16" s="118" t="s">
        <v>237</v>
      </c>
      <c r="D16" s="119"/>
      <c r="E16" s="118" t="s">
        <v>237</v>
      </c>
      <c r="F16" s="119"/>
      <c r="G16" s="118" t="s">
        <v>237</v>
      </c>
      <c r="H16" s="119"/>
      <c r="I16" s="118" t="s">
        <v>237</v>
      </c>
      <c r="J16" s="119"/>
    </row>
    <row r="17" spans="1:11" x14ac:dyDescent="0.35">
      <c r="A17" s="29">
        <v>5</v>
      </c>
      <c r="B17" s="27" t="s">
        <v>238</v>
      </c>
      <c r="C17" s="122">
        <v>45301</v>
      </c>
      <c r="D17" s="119"/>
      <c r="E17" s="122">
        <v>45301</v>
      </c>
      <c r="F17" s="119"/>
      <c r="G17" s="122">
        <v>45301</v>
      </c>
      <c r="H17" s="119"/>
      <c r="I17" s="122">
        <v>45301</v>
      </c>
      <c r="J17" s="119"/>
    </row>
    <row r="19" spans="1:11" ht="40" customHeight="1" x14ac:dyDescent="0.35">
      <c r="A19" s="117" t="s">
        <v>4</v>
      </c>
      <c r="B19" s="117"/>
      <c r="C19" s="96" t="s">
        <v>214</v>
      </c>
      <c r="D19" s="96"/>
      <c r="E19" s="96" t="s">
        <v>215</v>
      </c>
      <c r="F19" s="96"/>
      <c r="G19" s="96" t="s">
        <v>216</v>
      </c>
      <c r="H19" s="96"/>
      <c r="I19" s="96" t="s">
        <v>191</v>
      </c>
      <c r="J19" s="96"/>
    </row>
    <row r="20" spans="1:11" x14ac:dyDescent="0.35">
      <c r="A20" s="29">
        <v>1</v>
      </c>
      <c r="B20" s="29" t="s">
        <v>5</v>
      </c>
      <c r="C20" s="29"/>
      <c r="D20" s="29" t="s">
        <v>6</v>
      </c>
      <c r="E20" s="29"/>
      <c r="F20" s="29" t="s">
        <v>6</v>
      </c>
      <c r="G20" s="29"/>
      <c r="H20" s="29" t="s">
        <v>6</v>
      </c>
      <c r="I20" s="29"/>
      <c r="J20" s="29" t="s">
        <v>6</v>
      </c>
    </row>
    <row r="21" spans="1:11" x14ac:dyDescent="0.35">
      <c r="A21" s="29" t="s">
        <v>0</v>
      </c>
      <c r="B21" s="27" t="s">
        <v>7</v>
      </c>
      <c r="C21" s="2"/>
      <c r="D21" s="3">
        <f>C15</f>
        <v>1629.62</v>
      </c>
      <c r="E21" s="2"/>
      <c r="F21" s="3">
        <f>E15</f>
        <v>1629.62</v>
      </c>
      <c r="G21" s="2"/>
      <c r="H21" s="3">
        <f>G15</f>
        <v>1629.62</v>
      </c>
      <c r="I21" s="2"/>
      <c r="J21" s="3">
        <f>I15</f>
        <v>1629.62</v>
      </c>
      <c r="K21" t="s">
        <v>137</v>
      </c>
    </row>
    <row r="22" spans="1:11" x14ac:dyDescent="0.35">
      <c r="A22" s="29" t="s">
        <v>1</v>
      </c>
      <c r="B22" s="27" t="s">
        <v>96</v>
      </c>
      <c r="C22" s="2"/>
      <c r="D22" s="3"/>
      <c r="E22" s="2"/>
      <c r="F22" s="3"/>
      <c r="G22" s="2"/>
      <c r="I22" s="2"/>
      <c r="J22" s="3"/>
      <c r="K22" t="s">
        <v>198</v>
      </c>
    </row>
    <row r="23" spans="1:11" x14ac:dyDescent="0.35">
      <c r="A23" s="29" t="s">
        <v>2</v>
      </c>
      <c r="B23" s="27" t="s">
        <v>212</v>
      </c>
      <c r="C23" s="2"/>
      <c r="D23" s="3"/>
      <c r="E23" s="2"/>
      <c r="F23" s="3">
        <f>1412*20%</f>
        <v>282.40000000000003</v>
      </c>
      <c r="G23" s="2"/>
      <c r="H23" s="3"/>
      <c r="I23" s="2"/>
      <c r="J23" s="3"/>
      <c r="K23" t="s">
        <v>210</v>
      </c>
    </row>
    <row r="24" spans="1:11" x14ac:dyDescent="0.35">
      <c r="A24" s="29" t="s">
        <v>3</v>
      </c>
      <c r="B24" s="27" t="s">
        <v>213</v>
      </c>
      <c r="C24" s="2"/>
      <c r="D24" s="3"/>
      <c r="E24" s="2"/>
      <c r="F24" s="3"/>
      <c r="G24" s="2"/>
      <c r="H24" s="3">
        <f>H21*30%</f>
        <v>488.88599999999997</v>
      </c>
      <c r="I24" s="2"/>
      <c r="J24" s="3"/>
      <c r="K24" t="s">
        <v>211</v>
      </c>
    </row>
    <row r="25" spans="1:11" x14ac:dyDescent="0.35">
      <c r="A25" s="116" t="s">
        <v>9</v>
      </c>
      <c r="B25" s="116"/>
      <c r="C25" s="27"/>
      <c r="D25" s="4">
        <f>SUM(D21:D24)</f>
        <v>1629.62</v>
      </c>
      <c r="E25" s="27"/>
      <c r="F25" s="4">
        <f>SUM(F21:F24)</f>
        <v>1912.02</v>
      </c>
      <c r="G25" s="27"/>
      <c r="H25" s="4">
        <f>SUM(H21:H24)</f>
        <v>2118.5059999999999</v>
      </c>
      <c r="I25" s="27"/>
      <c r="J25" s="4">
        <f>SUM(J21:J24)</f>
        <v>1629.62</v>
      </c>
    </row>
    <row r="27" spans="1:11" ht="15" customHeight="1" x14ac:dyDescent="0.35"/>
    <row r="28" spans="1:11" ht="40" customHeight="1" x14ac:dyDescent="0.35">
      <c r="A28" s="117" t="s">
        <v>10</v>
      </c>
      <c r="B28" s="117"/>
      <c r="C28" s="96" t="str">
        <f>$C$19</f>
        <v>Copeiragem</v>
      </c>
      <c r="D28" s="96"/>
      <c r="E28" s="96" t="str">
        <f>$E$19</f>
        <v>Copeiragem (adicional de insalubridade)</v>
      </c>
      <c r="F28" s="96"/>
      <c r="G28" s="96" t="str">
        <f>$G$19</f>
        <v>Copeiragem (adicional de periculosidade)</v>
      </c>
      <c r="H28" s="96"/>
      <c r="I28" s="96" t="str">
        <f>$I$19</f>
        <v>Carregador</v>
      </c>
      <c r="J28" s="96"/>
    </row>
    <row r="29" spans="1:11" x14ac:dyDescent="0.35">
      <c r="A29" s="29" t="s">
        <v>11</v>
      </c>
      <c r="B29" s="29" t="s">
        <v>12</v>
      </c>
      <c r="C29" s="29" t="s">
        <v>13</v>
      </c>
      <c r="D29" s="29" t="s">
        <v>6</v>
      </c>
      <c r="E29" s="29" t="s">
        <v>13</v>
      </c>
      <c r="F29" s="29" t="s">
        <v>6</v>
      </c>
      <c r="G29" s="29" t="s">
        <v>13</v>
      </c>
      <c r="H29" s="29" t="s">
        <v>6</v>
      </c>
      <c r="I29" s="29" t="s">
        <v>13</v>
      </c>
      <c r="J29" s="29" t="s">
        <v>6</v>
      </c>
      <c r="K29" t="s">
        <v>138</v>
      </c>
    </row>
    <row r="30" spans="1:11" x14ac:dyDescent="0.35">
      <c r="A30" s="29" t="s">
        <v>0</v>
      </c>
      <c r="B30" s="27" t="s">
        <v>14</v>
      </c>
      <c r="C30" s="5">
        <f>1/12</f>
        <v>8.3333333333333329E-2</v>
      </c>
      <c r="D30" s="3">
        <f>ROUND(C30*D25,2)</f>
        <v>135.80000000000001</v>
      </c>
      <c r="E30" s="5">
        <f>1/12</f>
        <v>8.3333333333333329E-2</v>
      </c>
      <c r="F30" s="3">
        <f>ROUND(E30*F25,2)</f>
        <v>159.34</v>
      </c>
      <c r="G30" s="5">
        <f>1/12</f>
        <v>8.3333333333333329E-2</v>
      </c>
      <c r="H30" s="3">
        <f>ROUND(G30*H25,2)</f>
        <v>176.54</v>
      </c>
      <c r="I30" s="5">
        <f>1/12</f>
        <v>8.3333333333333329E-2</v>
      </c>
      <c r="J30" s="3">
        <f>ROUND(I30*J25,2)</f>
        <v>135.80000000000001</v>
      </c>
      <c r="K30" t="s">
        <v>139</v>
      </c>
    </row>
    <row r="31" spans="1:11" x14ac:dyDescent="0.35">
      <c r="A31" s="29" t="s">
        <v>1</v>
      </c>
      <c r="B31" s="27" t="s">
        <v>197</v>
      </c>
      <c r="C31" s="5">
        <f>(1/12)+(1/3/12)</f>
        <v>0.1111111111111111</v>
      </c>
      <c r="D31" s="3">
        <f>ROUND(C31*D25,2)</f>
        <v>181.07</v>
      </c>
      <c r="E31" s="5">
        <f>(1/12)+(1/3/12)</f>
        <v>0.1111111111111111</v>
      </c>
      <c r="F31" s="3">
        <f>ROUND(E31*F25,2)</f>
        <v>212.45</v>
      </c>
      <c r="G31" s="5">
        <f>(1/12)+(1/3/12)</f>
        <v>0.1111111111111111</v>
      </c>
      <c r="H31" s="3">
        <f>ROUND(G31*H25,2)</f>
        <v>235.39</v>
      </c>
      <c r="I31" s="5">
        <f>(1/12)+(1/3/12)</f>
        <v>0.1111111111111111</v>
      </c>
      <c r="J31" s="3">
        <f>ROUND(I31*J25,2)</f>
        <v>181.07</v>
      </c>
    </row>
    <row r="32" spans="1:11" x14ac:dyDescent="0.35">
      <c r="A32" s="116" t="s">
        <v>9</v>
      </c>
      <c r="B32" s="116"/>
      <c r="C32" s="30">
        <f t="shared" ref="C32:J32" si="0">SUM(C30:C31)</f>
        <v>0.19444444444444442</v>
      </c>
      <c r="D32" s="4">
        <f t="shared" si="0"/>
        <v>316.87</v>
      </c>
      <c r="E32" s="30">
        <f t="shared" ref="E32:F32" si="1">SUM(E30:E31)</f>
        <v>0.19444444444444442</v>
      </c>
      <c r="F32" s="4">
        <f t="shared" si="1"/>
        <v>371.78999999999996</v>
      </c>
      <c r="G32" s="30">
        <f t="shared" si="0"/>
        <v>0.19444444444444442</v>
      </c>
      <c r="H32" s="4">
        <f t="shared" si="0"/>
        <v>411.92999999999995</v>
      </c>
      <c r="I32" s="30">
        <f t="shared" si="0"/>
        <v>0.19444444444444442</v>
      </c>
      <c r="J32" s="4">
        <f t="shared" si="0"/>
        <v>316.87</v>
      </c>
    </row>
    <row r="34" spans="1:11" ht="15" customHeight="1" x14ac:dyDescent="0.35"/>
    <row r="35" spans="1:11" ht="40" customHeight="1" x14ac:dyDescent="0.35">
      <c r="A35" s="96" t="s">
        <v>15</v>
      </c>
      <c r="B35" s="96"/>
      <c r="C35" s="96" t="str">
        <f>$C$19</f>
        <v>Copeiragem</v>
      </c>
      <c r="D35" s="96"/>
      <c r="E35" s="96" t="str">
        <f>$E$19</f>
        <v>Copeiragem (adicional de insalubridade)</v>
      </c>
      <c r="F35" s="96"/>
      <c r="G35" s="96" t="str">
        <f>$G$19</f>
        <v>Copeiragem (adicional de periculosidade)</v>
      </c>
      <c r="H35" s="96"/>
      <c r="I35" s="96" t="str">
        <f>$I$19</f>
        <v>Carregador</v>
      </c>
      <c r="J35" s="96"/>
    </row>
    <row r="36" spans="1:11" x14ac:dyDescent="0.35">
      <c r="A36" s="29" t="s">
        <v>16</v>
      </c>
      <c r="B36" s="29" t="s">
        <v>17</v>
      </c>
      <c r="C36" s="29" t="s">
        <v>13</v>
      </c>
      <c r="D36" s="29" t="s">
        <v>6</v>
      </c>
      <c r="E36" s="29" t="s">
        <v>13</v>
      </c>
      <c r="F36" s="29" t="s">
        <v>6</v>
      </c>
      <c r="G36" s="29" t="s">
        <v>13</v>
      </c>
      <c r="H36" s="29" t="s">
        <v>6</v>
      </c>
      <c r="I36" s="29" t="s">
        <v>13</v>
      </c>
      <c r="J36" s="29" t="s">
        <v>6</v>
      </c>
      <c r="K36" t="s">
        <v>140</v>
      </c>
    </row>
    <row r="37" spans="1:11" x14ac:dyDescent="0.35">
      <c r="A37" s="29" t="s">
        <v>0</v>
      </c>
      <c r="B37" s="27" t="s">
        <v>18</v>
      </c>
      <c r="C37" s="6">
        <v>0.2</v>
      </c>
      <c r="D37" s="3">
        <f t="shared" ref="D37:D44" si="2">(C37*($D$32+$D$25))</f>
        <v>389.298</v>
      </c>
      <c r="E37" s="6">
        <v>0.2</v>
      </c>
      <c r="F37" s="3">
        <f>(E37*($F$32+$F$25))</f>
        <v>456.762</v>
      </c>
      <c r="G37" s="6">
        <v>0.2</v>
      </c>
      <c r="H37" s="3">
        <f t="shared" ref="H37:H44" si="3">G37*($H$32+$H$25)</f>
        <v>506.08719999999994</v>
      </c>
      <c r="I37" s="6">
        <v>0.2</v>
      </c>
      <c r="J37" s="3">
        <f t="shared" ref="J37:J44" si="4">I37*($J$32+$J$25)</f>
        <v>389.298</v>
      </c>
      <c r="K37" t="s">
        <v>141</v>
      </c>
    </row>
    <row r="38" spans="1:11" x14ac:dyDescent="0.35">
      <c r="A38" s="29" t="s">
        <v>1</v>
      </c>
      <c r="B38" s="27" t="s">
        <v>19</v>
      </c>
      <c r="C38" s="6">
        <v>2.5000000000000001E-2</v>
      </c>
      <c r="D38" s="3">
        <f t="shared" si="2"/>
        <v>48.66225</v>
      </c>
      <c r="E38" s="6">
        <v>2.5000000000000001E-2</v>
      </c>
      <c r="F38" s="3">
        <f t="shared" ref="F38:F44" si="5">(E38*($F$32+$F$25))</f>
        <v>57.09525</v>
      </c>
      <c r="G38" s="6">
        <v>2.5000000000000001E-2</v>
      </c>
      <c r="H38" s="3">
        <f t="shared" si="3"/>
        <v>63.260899999999992</v>
      </c>
      <c r="I38" s="6">
        <v>2.5000000000000001E-2</v>
      </c>
      <c r="J38" s="3">
        <f t="shared" si="4"/>
        <v>48.66225</v>
      </c>
      <c r="K38" t="s">
        <v>142</v>
      </c>
    </row>
    <row r="39" spans="1:11" x14ac:dyDescent="0.35">
      <c r="A39" s="29" t="s">
        <v>2</v>
      </c>
      <c r="B39" s="27" t="s">
        <v>20</v>
      </c>
      <c r="C39" s="6">
        <v>0.03</v>
      </c>
      <c r="D39" s="3">
        <f t="shared" si="2"/>
        <v>58.394699999999993</v>
      </c>
      <c r="E39" s="6">
        <v>0.03</v>
      </c>
      <c r="F39" s="3">
        <f t="shared" si="5"/>
        <v>68.514299999999992</v>
      </c>
      <c r="G39" s="6">
        <v>0.03</v>
      </c>
      <c r="H39" s="3">
        <f t="shared" si="3"/>
        <v>75.913079999999994</v>
      </c>
      <c r="I39" s="6">
        <v>0.03</v>
      </c>
      <c r="J39" s="3">
        <f t="shared" si="4"/>
        <v>58.394699999999993</v>
      </c>
      <c r="K39" t="s">
        <v>143</v>
      </c>
    </row>
    <row r="40" spans="1:11" x14ac:dyDescent="0.35">
      <c r="A40" s="29" t="s">
        <v>3</v>
      </c>
      <c r="B40" s="27" t="s">
        <v>21</v>
      </c>
      <c r="C40" s="6">
        <v>1.4999999999999999E-2</v>
      </c>
      <c r="D40" s="3">
        <f t="shared" si="2"/>
        <v>29.197349999999997</v>
      </c>
      <c r="E40" s="6">
        <v>1.4999999999999999E-2</v>
      </c>
      <c r="F40" s="3">
        <f t="shared" si="5"/>
        <v>34.257149999999996</v>
      </c>
      <c r="G40" s="6">
        <v>1.4999999999999999E-2</v>
      </c>
      <c r="H40" s="3">
        <f t="shared" si="3"/>
        <v>37.956539999999997</v>
      </c>
      <c r="I40" s="6">
        <v>1.4999999999999999E-2</v>
      </c>
      <c r="J40" s="3">
        <f t="shared" si="4"/>
        <v>29.197349999999997</v>
      </c>
      <c r="K40" t="s">
        <v>144</v>
      </c>
    </row>
    <row r="41" spans="1:11" x14ac:dyDescent="0.35">
      <c r="A41" s="29" t="s">
        <v>22</v>
      </c>
      <c r="B41" s="27" t="s">
        <v>23</v>
      </c>
      <c r="C41" s="6">
        <v>0.01</v>
      </c>
      <c r="D41" s="3">
        <f t="shared" si="2"/>
        <v>19.464899999999997</v>
      </c>
      <c r="E41" s="6">
        <v>0.01</v>
      </c>
      <c r="F41" s="3">
        <f t="shared" si="5"/>
        <v>22.838100000000001</v>
      </c>
      <c r="G41" s="6">
        <v>0.01</v>
      </c>
      <c r="H41" s="3">
        <f t="shared" si="3"/>
        <v>25.304359999999999</v>
      </c>
      <c r="I41" s="6">
        <v>0.01</v>
      </c>
      <c r="J41" s="3">
        <f t="shared" si="4"/>
        <v>19.464899999999997</v>
      </c>
      <c r="K41" t="s">
        <v>145</v>
      </c>
    </row>
    <row r="42" spans="1:11" x14ac:dyDescent="0.35">
      <c r="A42" s="29" t="s">
        <v>24</v>
      </c>
      <c r="B42" s="27" t="s">
        <v>25</v>
      </c>
      <c r="C42" s="6">
        <v>6.0000000000000001E-3</v>
      </c>
      <c r="D42" s="3">
        <f t="shared" si="2"/>
        <v>11.678939999999999</v>
      </c>
      <c r="E42" s="6">
        <v>6.0000000000000001E-3</v>
      </c>
      <c r="F42" s="3">
        <f t="shared" si="5"/>
        <v>13.702859999999999</v>
      </c>
      <c r="G42" s="6">
        <v>6.0000000000000001E-3</v>
      </c>
      <c r="H42" s="3">
        <f t="shared" si="3"/>
        <v>15.182615999999998</v>
      </c>
      <c r="I42" s="6">
        <v>6.0000000000000001E-3</v>
      </c>
      <c r="J42" s="3">
        <f t="shared" si="4"/>
        <v>11.678939999999999</v>
      </c>
      <c r="K42" t="s">
        <v>146</v>
      </c>
    </row>
    <row r="43" spans="1:11" x14ac:dyDescent="0.35">
      <c r="A43" s="29" t="s">
        <v>26</v>
      </c>
      <c r="B43" s="27" t="s">
        <v>27</v>
      </c>
      <c r="C43" s="6">
        <v>2E-3</v>
      </c>
      <c r="D43" s="3">
        <f t="shared" si="2"/>
        <v>3.8929799999999997</v>
      </c>
      <c r="E43" s="6">
        <v>2E-3</v>
      </c>
      <c r="F43" s="3">
        <f t="shared" si="5"/>
        <v>4.5676199999999998</v>
      </c>
      <c r="G43" s="6">
        <v>2E-3</v>
      </c>
      <c r="H43" s="3">
        <f t="shared" si="3"/>
        <v>5.0608719999999998</v>
      </c>
      <c r="I43" s="6">
        <v>2E-3</v>
      </c>
      <c r="J43" s="3">
        <f t="shared" si="4"/>
        <v>3.8929799999999997</v>
      </c>
      <c r="K43" t="s">
        <v>147</v>
      </c>
    </row>
    <row r="44" spans="1:11" x14ac:dyDescent="0.35">
      <c r="A44" s="29" t="s">
        <v>28</v>
      </c>
      <c r="B44" s="27" t="s">
        <v>29</v>
      </c>
      <c r="C44" s="6">
        <v>0.08</v>
      </c>
      <c r="D44" s="3">
        <f t="shared" si="2"/>
        <v>155.71919999999997</v>
      </c>
      <c r="E44" s="6">
        <v>0.08</v>
      </c>
      <c r="F44" s="3">
        <f t="shared" si="5"/>
        <v>182.70480000000001</v>
      </c>
      <c r="G44" s="6">
        <v>0.08</v>
      </c>
      <c r="H44" s="3">
        <f t="shared" si="3"/>
        <v>202.43487999999999</v>
      </c>
      <c r="I44" s="6">
        <v>0.08</v>
      </c>
      <c r="J44" s="3">
        <f t="shared" si="4"/>
        <v>155.71919999999997</v>
      </c>
    </row>
    <row r="45" spans="1:11" x14ac:dyDescent="0.35">
      <c r="A45" s="116" t="s">
        <v>9</v>
      </c>
      <c r="B45" s="116"/>
      <c r="C45" s="6">
        <f>SUM(C37:C44)</f>
        <v>0.36800000000000005</v>
      </c>
      <c r="D45" s="4">
        <f>(ROUND(SUM(D37:D44),2))</f>
        <v>716.31</v>
      </c>
      <c r="E45" s="6">
        <f>SUM(E37:E44)</f>
        <v>0.36800000000000005</v>
      </c>
      <c r="F45" s="4">
        <f>(ROUND(SUM(F37:F44),2))</f>
        <v>840.44</v>
      </c>
      <c r="G45" s="6">
        <f>SUM(G37:G44)</f>
        <v>0.36800000000000005</v>
      </c>
      <c r="H45" s="4">
        <f>(ROUND(SUM(H37:H44),2))</f>
        <v>931.2</v>
      </c>
      <c r="I45" s="6">
        <f>SUM(I37:I44)</f>
        <v>0.36800000000000005</v>
      </c>
      <c r="J45" s="4">
        <f>(ROUND(SUM(J37:J44),2))</f>
        <v>716.31</v>
      </c>
    </row>
    <row r="47" spans="1:11" ht="15" customHeight="1" x14ac:dyDescent="0.35"/>
    <row r="48" spans="1:11" ht="40" customHeight="1" x14ac:dyDescent="0.35">
      <c r="A48" s="96" t="s">
        <v>30</v>
      </c>
      <c r="B48" s="96"/>
      <c r="C48" s="96" t="str">
        <f>$C$19</f>
        <v>Copeiragem</v>
      </c>
      <c r="D48" s="96"/>
      <c r="E48" s="96" t="str">
        <f>$E$19</f>
        <v>Copeiragem (adicional de insalubridade)</v>
      </c>
      <c r="F48" s="96"/>
      <c r="G48" s="96" t="str">
        <f>$G$19</f>
        <v>Copeiragem (adicional de periculosidade)</v>
      </c>
      <c r="H48" s="96"/>
      <c r="I48" s="96" t="str">
        <f>$I$19</f>
        <v>Carregador</v>
      </c>
      <c r="J48" s="96"/>
    </row>
    <row r="49" spans="1:11" ht="29" x14ac:dyDescent="0.35">
      <c r="A49" s="29" t="s">
        <v>31</v>
      </c>
      <c r="B49" s="29" t="s">
        <v>32</v>
      </c>
      <c r="C49" s="20" t="s">
        <v>33</v>
      </c>
      <c r="D49" s="29" t="s">
        <v>6</v>
      </c>
      <c r="E49" s="20" t="s">
        <v>33</v>
      </c>
      <c r="F49" s="29" t="s">
        <v>6</v>
      </c>
      <c r="G49" s="20" t="s">
        <v>33</v>
      </c>
      <c r="H49" s="29" t="s">
        <v>6</v>
      </c>
      <c r="I49" s="20" t="s">
        <v>33</v>
      </c>
      <c r="J49" s="29" t="s">
        <v>6</v>
      </c>
      <c r="K49" t="s">
        <v>148</v>
      </c>
    </row>
    <row r="50" spans="1:11" x14ac:dyDescent="0.35">
      <c r="A50" s="29" t="s">
        <v>0</v>
      </c>
      <c r="B50" s="27" t="s">
        <v>34</v>
      </c>
      <c r="C50" s="31">
        <v>5.5</v>
      </c>
      <c r="D50" s="3">
        <f>ROUND(IF((C50*2*21)-(D21*6%)&gt;=0,(C50*2*21)-(D21*6%),0),2)</f>
        <v>133.22</v>
      </c>
      <c r="E50" s="31">
        <v>5.5</v>
      </c>
      <c r="F50" s="3">
        <f>ROUND(IF((E50*2*21)-(F21*6%)&gt;=0,(E50*2*21)-(F21*6%),0),2)</f>
        <v>133.22</v>
      </c>
      <c r="G50" s="31">
        <v>5.5</v>
      </c>
      <c r="H50" s="3">
        <f>ROUND(IF((G50*2*21)-(H21*6%)&gt;=0,(G50*2*21)-(H21*6%),0),2)</f>
        <v>133.22</v>
      </c>
      <c r="I50" s="31">
        <v>5.5</v>
      </c>
      <c r="J50" s="3">
        <f>ROUND(IF((I50*2*21)-(J21*6%)&gt;=0,(I50*2*21)-(J21*6%),0),2)</f>
        <v>133.22</v>
      </c>
    </row>
    <row r="51" spans="1:11" x14ac:dyDescent="0.35">
      <c r="A51" s="123" t="s">
        <v>1</v>
      </c>
      <c r="B51" s="124" t="s">
        <v>35</v>
      </c>
      <c r="C51" s="10" t="s">
        <v>36</v>
      </c>
      <c r="D51" s="3"/>
      <c r="E51" s="10" t="s">
        <v>36</v>
      </c>
      <c r="F51" s="3"/>
      <c r="G51" s="10" t="s">
        <v>36</v>
      </c>
      <c r="H51" s="3"/>
      <c r="I51" s="10" t="s">
        <v>36</v>
      </c>
      <c r="J51" s="3"/>
      <c r="K51" t="s">
        <v>149</v>
      </c>
    </row>
    <row r="52" spans="1:11" x14ac:dyDescent="0.35">
      <c r="A52" s="123"/>
      <c r="B52" s="124"/>
      <c r="C52" s="31">
        <v>42.2</v>
      </c>
      <c r="D52" s="3">
        <f>(C52*21)</f>
        <v>886.2</v>
      </c>
      <c r="E52" s="31">
        <v>42.2</v>
      </c>
      <c r="F52" s="3">
        <f>(E52*21)</f>
        <v>886.2</v>
      </c>
      <c r="G52" s="31">
        <v>42.2</v>
      </c>
      <c r="H52" s="3">
        <f>(G52*21)</f>
        <v>886.2</v>
      </c>
      <c r="I52" s="31">
        <v>42.2</v>
      </c>
      <c r="J52" s="3">
        <f>(I52*21)</f>
        <v>886.2</v>
      </c>
    </row>
    <row r="53" spans="1:11" x14ac:dyDescent="0.35">
      <c r="A53" s="29" t="s">
        <v>2</v>
      </c>
      <c r="B53" s="27" t="s">
        <v>8</v>
      </c>
      <c r="C53" s="6"/>
      <c r="D53" s="29"/>
      <c r="E53" s="6"/>
      <c r="F53" s="29"/>
      <c r="G53" s="6"/>
      <c r="H53" s="29"/>
      <c r="I53" s="6"/>
      <c r="J53" s="29"/>
    </row>
    <row r="54" spans="1:11" x14ac:dyDescent="0.35">
      <c r="A54" s="116" t="s">
        <v>9</v>
      </c>
      <c r="B54" s="116"/>
      <c r="C54" s="27"/>
      <c r="D54" s="4">
        <f>ROUND(SUM(D50:D53),2)</f>
        <v>1019.42</v>
      </c>
      <c r="E54" s="27"/>
      <c r="F54" s="4">
        <f>ROUND(SUM(F50:F53),2)</f>
        <v>1019.42</v>
      </c>
      <c r="G54" s="27"/>
      <c r="H54" s="4">
        <f>ROUND(SUM(H50:H53),2)</f>
        <v>1019.42</v>
      </c>
      <c r="I54" s="27"/>
      <c r="J54" s="4">
        <f>ROUND(SUM(J50:J53),2)</f>
        <v>1019.42</v>
      </c>
    </row>
    <row r="56" spans="1:11" ht="15" customHeight="1" x14ac:dyDescent="0.35"/>
    <row r="57" spans="1:11" ht="40" customHeight="1" x14ac:dyDescent="0.35">
      <c r="A57" s="96" t="s">
        <v>37</v>
      </c>
      <c r="B57" s="96"/>
      <c r="C57" s="96" t="str">
        <f>$C$19</f>
        <v>Copeiragem</v>
      </c>
      <c r="D57" s="96"/>
      <c r="E57" s="96" t="str">
        <f>$E$19</f>
        <v>Copeiragem (adicional de insalubridade)</v>
      </c>
      <c r="F57" s="96"/>
      <c r="G57" s="96" t="str">
        <f>$G$19</f>
        <v>Copeiragem (adicional de periculosidade)</v>
      </c>
      <c r="H57" s="96"/>
      <c r="I57" s="96" t="str">
        <f>$I$19</f>
        <v>Carregador</v>
      </c>
      <c r="J57" s="96"/>
    </row>
    <row r="58" spans="1:11" x14ac:dyDescent="0.35">
      <c r="A58" s="29">
        <v>2</v>
      </c>
      <c r="B58" s="29" t="s">
        <v>32</v>
      </c>
      <c r="C58" s="29"/>
      <c r="D58" s="29" t="s">
        <v>6</v>
      </c>
      <c r="E58" s="29"/>
      <c r="F58" s="29" t="s">
        <v>6</v>
      </c>
      <c r="G58" s="29"/>
      <c r="H58" s="29" t="s">
        <v>6</v>
      </c>
      <c r="I58" s="29"/>
      <c r="J58" s="29" t="s">
        <v>6</v>
      </c>
    </row>
    <row r="59" spans="1:11" x14ac:dyDescent="0.35">
      <c r="A59" s="29" t="s">
        <v>11</v>
      </c>
      <c r="B59" s="27" t="s">
        <v>38</v>
      </c>
      <c r="C59" s="6"/>
      <c r="D59" s="3">
        <f>D32</f>
        <v>316.87</v>
      </c>
      <c r="E59" s="6"/>
      <c r="F59" s="3">
        <f>F32</f>
        <v>371.78999999999996</v>
      </c>
      <c r="G59" s="7"/>
      <c r="H59" s="3">
        <f>H32</f>
        <v>411.92999999999995</v>
      </c>
      <c r="I59" s="7"/>
      <c r="J59" s="3">
        <f>J32</f>
        <v>316.87</v>
      </c>
    </row>
    <row r="60" spans="1:11" x14ac:dyDescent="0.35">
      <c r="A60" s="29" t="s">
        <v>16</v>
      </c>
      <c r="B60" s="27" t="s">
        <v>17</v>
      </c>
      <c r="C60" s="6"/>
      <c r="D60" s="28">
        <f>D45</f>
        <v>716.31</v>
      </c>
      <c r="E60" s="6"/>
      <c r="F60" s="28">
        <f>F45</f>
        <v>840.44</v>
      </c>
      <c r="G60" s="7"/>
      <c r="H60" s="28">
        <f>H45</f>
        <v>931.2</v>
      </c>
      <c r="I60" s="7"/>
      <c r="J60" s="28">
        <f>J45</f>
        <v>716.31</v>
      </c>
    </row>
    <row r="61" spans="1:11" x14ac:dyDescent="0.35">
      <c r="A61" s="29" t="s">
        <v>31</v>
      </c>
      <c r="B61" s="27" t="s">
        <v>32</v>
      </c>
      <c r="C61" s="6"/>
      <c r="D61" s="28">
        <f>D54</f>
        <v>1019.42</v>
      </c>
      <c r="E61" s="6"/>
      <c r="F61" s="28">
        <f>F54</f>
        <v>1019.42</v>
      </c>
      <c r="G61" s="7"/>
      <c r="H61" s="28">
        <f>H54</f>
        <v>1019.42</v>
      </c>
      <c r="I61" s="7"/>
      <c r="J61" s="28">
        <f>J54</f>
        <v>1019.42</v>
      </c>
    </row>
    <row r="62" spans="1:11" x14ac:dyDescent="0.35">
      <c r="A62" s="116" t="s">
        <v>9</v>
      </c>
      <c r="B62" s="116"/>
      <c r="C62" s="27"/>
      <c r="D62" s="8">
        <f>SUM(D59:D61)</f>
        <v>2052.6</v>
      </c>
      <c r="E62" s="27"/>
      <c r="F62" s="8">
        <f>SUM(F59:F61)</f>
        <v>2231.65</v>
      </c>
      <c r="G62" s="27"/>
      <c r="H62" s="4">
        <f>SUM(H59:H61)</f>
        <v>2362.5500000000002</v>
      </c>
      <c r="I62" s="27"/>
      <c r="J62" s="4">
        <f>SUM(J59:J61)</f>
        <v>2052.6</v>
      </c>
    </row>
    <row r="64" spans="1:11" ht="15" customHeight="1" x14ac:dyDescent="0.35"/>
    <row r="65" spans="1:11" ht="40" customHeight="1" x14ac:dyDescent="0.35">
      <c r="A65" s="96" t="s">
        <v>39</v>
      </c>
      <c r="B65" s="96"/>
      <c r="C65" s="96" t="str">
        <f>$C$19</f>
        <v>Copeiragem</v>
      </c>
      <c r="D65" s="96"/>
      <c r="E65" s="96" t="str">
        <f>$E$19</f>
        <v>Copeiragem (adicional de insalubridade)</v>
      </c>
      <c r="F65" s="96"/>
      <c r="G65" s="96" t="str">
        <f>$G$19</f>
        <v>Copeiragem (adicional de periculosidade)</v>
      </c>
      <c r="H65" s="96"/>
      <c r="I65" s="96" t="str">
        <f>$I$19</f>
        <v>Carregador</v>
      </c>
      <c r="J65" s="96"/>
    </row>
    <row r="66" spans="1:11" x14ac:dyDescent="0.35">
      <c r="A66" s="29">
        <v>3</v>
      </c>
      <c r="B66" s="29" t="s">
        <v>40</v>
      </c>
      <c r="C66" s="29" t="s">
        <v>13</v>
      </c>
      <c r="D66" s="29" t="s">
        <v>6</v>
      </c>
      <c r="E66" s="29" t="s">
        <v>13</v>
      </c>
      <c r="F66" s="29" t="s">
        <v>6</v>
      </c>
      <c r="G66" s="29" t="s">
        <v>13</v>
      </c>
      <c r="H66" s="29" t="s">
        <v>6</v>
      </c>
      <c r="I66" s="29" t="s">
        <v>13</v>
      </c>
      <c r="J66" s="29" t="s">
        <v>6</v>
      </c>
      <c r="K66" t="s">
        <v>150</v>
      </c>
    </row>
    <row r="67" spans="1:11" x14ac:dyDescent="0.35">
      <c r="A67" s="29" t="s">
        <v>0</v>
      </c>
      <c r="B67" s="27" t="s">
        <v>41</v>
      </c>
      <c r="C67" s="5">
        <f>(1/12*5.55%)</f>
        <v>4.6249999999999998E-3</v>
      </c>
      <c r="D67" s="3">
        <f>ROUND(C67*D25,2)</f>
        <v>7.54</v>
      </c>
      <c r="E67" s="5">
        <f>(1/12*5.55%)</f>
        <v>4.6249999999999998E-3</v>
      </c>
      <c r="F67" s="3">
        <f>ROUND(E67*F25,2)</f>
        <v>8.84</v>
      </c>
      <c r="G67" s="5">
        <f>(1/12*5.55%)</f>
        <v>4.6249999999999998E-3</v>
      </c>
      <c r="H67" s="3">
        <f>ROUND(G67*H25,2)</f>
        <v>9.8000000000000007</v>
      </c>
      <c r="I67" s="5">
        <f>(1/12*5.55%)</f>
        <v>4.6249999999999998E-3</v>
      </c>
      <c r="J67" s="3">
        <f>ROUND(I67*J25,2)</f>
        <v>7.54</v>
      </c>
    </row>
    <row r="68" spans="1:11" x14ac:dyDescent="0.35">
      <c r="A68" s="29" t="s">
        <v>1</v>
      </c>
      <c r="B68" s="27" t="s">
        <v>42</v>
      </c>
      <c r="C68" s="5">
        <v>0.08</v>
      </c>
      <c r="D68" s="3">
        <f>C68*D67</f>
        <v>0.60320000000000007</v>
      </c>
      <c r="E68" s="5">
        <v>0.08</v>
      </c>
      <c r="F68" s="3">
        <f>E68*F67</f>
        <v>0.70720000000000005</v>
      </c>
      <c r="G68" s="5">
        <v>0.08</v>
      </c>
      <c r="H68" s="3">
        <f>G68*H67</f>
        <v>0.78400000000000003</v>
      </c>
      <c r="I68" s="5">
        <v>0.08</v>
      </c>
      <c r="J68" s="3">
        <f>I68*J67</f>
        <v>0.60320000000000007</v>
      </c>
      <c r="K68" t="s">
        <v>151</v>
      </c>
    </row>
    <row r="69" spans="1:11" x14ac:dyDescent="0.35">
      <c r="A69" s="29" t="s">
        <v>2</v>
      </c>
      <c r="B69" s="27" t="s">
        <v>43</v>
      </c>
      <c r="C69" s="5">
        <f>(7/30)/12</f>
        <v>1.9444444444444445E-2</v>
      </c>
      <c r="D69" s="3">
        <f>C69*D25</f>
        <v>31.687055555555553</v>
      </c>
      <c r="E69" s="5">
        <f>(7/30)/12</f>
        <v>1.9444444444444445E-2</v>
      </c>
      <c r="F69" s="3">
        <f>E69*F25</f>
        <v>37.178166666666669</v>
      </c>
      <c r="G69" s="5">
        <f>(7/30)/12</f>
        <v>1.9444444444444445E-2</v>
      </c>
      <c r="H69" s="3">
        <f>G69*H25</f>
        <v>41.193172222222223</v>
      </c>
      <c r="I69" s="5">
        <f>(7/30)/12</f>
        <v>1.9444444444444445E-2</v>
      </c>
      <c r="J69" s="3">
        <f>I69*J25</f>
        <v>31.687055555555553</v>
      </c>
    </row>
    <row r="70" spans="1:11" x14ac:dyDescent="0.35">
      <c r="A70" s="32" t="s">
        <v>3</v>
      </c>
      <c r="B70" s="9" t="s">
        <v>44</v>
      </c>
      <c r="C70" s="5">
        <f>C45</f>
        <v>0.36800000000000005</v>
      </c>
      <c r="D70" s="3">
        <f>C70*D69</f>
        <v>11.660836444444445</v>
      </c>
      <c r="E70" s="5">
        <f>E45</f>
        <v>0.36800000000000005</v>
      </c>
      <c r="F70" s="3">
        <f>E70*F69</f>
        <v>13.681565333333337</v>
      </c>
      <c r="G70" s="5">
        <f>G45</f>
        <v>0.36800000000000005</v>
      </c>
      <c r="H70" s="3">
        <f>G70*H69</f>
        <v>15.15908737777778</v>
      </c>
      <c r="I70" s="5">
        <f>I45</f>
        <v>0.36800000000000005</v>
      </c>
      <c r="J70" s="3">
        <f>I70*J69</f>
        <v>11.660836444444445</v>
      </c>
      <c r="K70" t="s">
        <v>152</v>
      </c>
    </row>
    <row r="71" spans="1:11" x14ac:dyDescent="0.35">
      <c r="A71" s="29" t="s">
        <v>22</v>
      </c>
      <c r="B71" s="27" t="s">
        <v>45</v>
      </c>
      <c r="C71" s="5">
        <v>0.04</v>
      </c>
      <c r="D71" s="3">
        <f>C71*D25</f>
        <v>65.184799999999996</v>
      </c>
      <c r="E71" s="5">
        <v>0.04</v>
      </c>
      <c r="F71" s="3">
        <f>E71*F25</f>
        <v>76.480800000000002</v>
      </c>
      <c r="G71" s="5">
        <v>0.04</v>
      </c>
      <c r="H71" s="3">
        <f>G71*H25</f>
        <v>84.74024</v>
      </c>
      <c r="I71" s="5">
        <v>0.04</v>
      </c>
      <c r="J71" s="3">
        <f>I71*J25</f>
        <v>65.184799999999996</v>
      </c>
    </row>
    <row r="72" spans="1:11" x14ac:dyDescent="0.35">
      <c r="A72" s="116" t="s">
        <v>9</v>
      </c>
      <c r="B72" s="116"/>
      <c r="C72" s="27"/>
      <c r="D72" s="4">
        <f>ROUND(SUM(D67:D71),2)</f>
        <v>116.68</v>
      </c>
      <c r="E72" s="27"/>
      <c r="F72" s="4">
        <f>ROUND(SUM(F67:F71),2)</f>
        <v>136.88999999999999</v>
      </c>
      <c r="G72" s="27"/>
      <c r="H72" s="4">
        <f>ROUND(SUM(H67:H71),2)</f>
        <v>151.68</v>
      </c>
      <c r="I72" s="27"/>
      <c r="J72" s="4">
        <f>ROUND(SUM(J67:J71),2)</f>
        <v>116.68</v>
      </c>
    </row>
    <row r="74" spans="1:11" ht="15" customHeight="1" x14ac:dyDescent="0.35"/>
    <row r="75" spans="1:11" ht="40" customHeight="1" x14ac:dyDescent="0.35">
      <c r="A75" s="96" t="s">
        <v>97</v>
      </c>
      <c r="B75" s="96"/>
      <c r="C75" s="96" t="str">
        <f>$C$19</f>
        <v>Copeiragem</v>
      </c>
      <c r="D75" s="96"/>
      <c r="E75" s="96" t="str">
        <f>$E$19</f>
        <v>Copeiragem (adicional de insalubridade)</v>
      </c>
      <c r="F75" s="96"/>
      <c r="G75" s="96" t="str">
        <f>$G$19</f>
        <v>Copeiragem (adicional de periculosidade)</v>
      </c>
      <c r="H75" s="96"/>
      <c r="I75" s="96" t="str">
        <f>$I$19</f>
        <v>Carregador</v>
      </c>
      <c r="J75" s="96"/>
    </row>
    <row r="76" spans="1:11" x14ac:dyDescent="0.35">
      <c r="A76" s="29" t="s">
        <v>46</v>
      </c>
      <c r="B76" s="29" t="s">
        <v>98</v>
      </c>
      <c r="C76" s="29" t="s">
        <v>13</v>
      </c>
      <c r="D76" s="29" t="s">
        <v>6</v>
      </c>
      <c r="E76" s="29" t="s">
        <v>13</v>
      </c>
      <c r="F76" s="29" t="s">
        <v>6</v>
      </c>
      <c r="G76" s="29" t="s">
        <v>13</v>
      </c>
      <c r="H76" s="29" t="s">
        <v>6</v>
      </c>
      <c r="I76" s="29" t="s">
        <v>13</v>
      </c>
      <c r="J76" s="29" t="s">
        <v>6</v>
      </c>
      <c r="K76" t="s">
        <v>153</v>
      </c>
    </row>
    <row r="77" spans="1:11" x14ac:dyDescent="0.35">
      <c r="A77" s="29" t="s">
        <v>0</v>
      </c>
      <c r="B77" s="27" t="s">
        <v>47</v>
      </c>
      <c r="C77" s="5">
        <f>12.1%-C31</f>
        <v>9.8888888888888915E-3</v>
      </c>
      <c r="D77" s="3">
        <f t="shared" ref="D77:D82" si="6">C77*($D$25+$D$59+$D$60+$D$72)</f>
        <v>27.485968888888891</v>
      </c>
      <c r="E77" s="5">
        <f>12.1%-E31</f>
        <v>9.8888888888888915E-3</v>
      </c>
      <c r="F77" s="3">
        <f>E77*($F$25+$F$59+$F$60+$F$72)</f>
        <v>32.249051111111122</v>
      </c>
      <c r="G77" s="5">
        <f>12.1%-G31</f>
        <v>9.8888888888888915E-3</v>
      </c>
      <c r="H77" s="3">
        <f t="shared" ref="H77:H82" si="7">G77*($H$25+$H$59+$H$60+$H$72)</f>
        <v>35.73168044444445</v>
      </c>
      <c r="I77" s="5">
        <f>12.1%-I31</f>
        <v>9.8888888888888915E-3</v>
      </c>
      <c r="J77" s="3">
        <f t="shared" ref="J77:J82" si="8">I77*($J$25+$J$59+$J$60+$J$72)</f>
        <v>27.485968888888891</v>
      </c>
      <c r="K77" t="s">
        <v>154</v>
      </c>
    </row>
    <row r="78" spans="1:11" x14ac:dyDescent="0.35">
      <c r="A78" s="29" t="s">
        <v>1</v>
      </c>
      <c r="B78" s="27" t="s">
        <v>48</v>
      </c>
      <c r="C78" s="5">
        <f>(5.96/30)/12</f>
        <v>1.6555555555555556E-2</v>
      </c>
      <c r="D78" s="3">
        <f t="shared" si="6"/>
        <v>46.015835555555547</v>
      </c>
      <c r="E78" s="5">
        <f>(5.96/30)/12</f>
        <v>1.6555555555555556E-2</v>
      </c>
      <c r="F78" s="3">
        <f t="shared" ref="F78:F82" si="9">E78*($F$25+$F$59+$F$60+$F$72)</f>
        <v>53.989984444444445</v>
      </c>
      <c r="G78" s="5">
        <f>(5.96/30)/12</f>
        <v>1.6555555555555556E-2</v>
      </c>
      <c r="H78" s="3">
        <f t="shared" si="7"/>
        <v>59.820453777777772</v>
      </c>
      <c r="I78" s="5">
        <f>(5.96/30)/12</f>
        <v>1.6555555555555556E-2</v>
      </c>
      <c r="J78" s="3">
        <f t="shared" si="8"/>
        <v>46.015835555555547</v>
      </c>
      <c r="K78" t="s">
        <v>155</v>
      </c>
    </row>
    <row r="79" spans="1:11" ht="15" customHeight="1" x14ac:dyDescent="0.35">
      <c r="A79" s="29" t="s">
        <v>2</v>
      </c>
      <c r="B79" s="27" t="s">
        <v>49</v>
      </c>
      <c r="C79" s="5">
        <f>((5/30)/12)*0.015</f>
        <v>2.0833333333333332E-4</v>
      </c>
      <c r="D79" s="3">
        <f t="shared" si="6"/>
        <v>0.57905833333333323</v>
      </c>
      <c r="E79" s="5">
        <f>((5/30)/12)*0.015</f>
        <v>2.0833333333333332E-4</v>
      </c>
      <c r="F79" s="3">
        <f t="shared" si="9"/>
        <v>0.67940416666666659</v>
      </c>
      <c r="G79" s="5">
        <f>((5/30)/12)*0.015</f>
        <v>2.0833333333333332E-4</v>
      </c>
      <c r="H79" s="3">
        <f t="shared" si="7"/>
        <v>0.75277416666666652</v>
      </c>
      <c r="I79" s="5">
        <f>((5/30)/12)*0.015</f>
        <v>2.0833333333333332E-4</v>
      </c>
      <c r="J79" s="3">
        <f t="shared" si="8"/>
        <v>0.57905833333333323</v>
      </c>
      <c r="K79" t="s">
        <v>136</v>
      </c>
    </row>
    <row r="80" spans="1:11" ht="15" customHeight="1" x14ac:dyDescent="0.35">
      <c r="A80" s="32" t="s">
        <v>3</v>
      </c>
      <c r="B80" s="9" t="s">
        <v>50</v>
      </c>
      <c r="C80" s="5">
        <f>(15/360)*0.44%</f>
        <v>1.8333333333333334E-4</v>
      </c>
      <c r="D80" s="3">
        <f t="shared" si="6"/>
        <v>0.50957133333333327</v>
      </c>
      <c r="E80" s="5">
        <f>(15/360)*0.44%</f>
        <v>1.8333333333333334E-4</v>
      </c>
      <c r="F80" s="3">
        <f t="shared" si="9"/>
        <v>0.59787566666666669</v>
      </c>
      <c r="G80" s="5">
        <f>(15/360)*0.44%</f>
        <v>1.8333333333333334E-4</v>
      </c>
      <c r="H80" s="3">
        <f t="shared" si="7"/>
        <v>0.66244126666666658</v>
      </c>
      <c r="I80" s="5">
        <f>(15/360)*0.44%</f>
        <v>1.8333333333333334E-4</v>
      </c>
      <c r="J80" s="3">
        <f t="shared" si="8"/>
        <v>0.50957133333333327</v>
      </c>
      <c r="K80" t="s">
        <v>156</v>
      </c>
    </row>
    <row r="81" spans="1:10" x14ac:dyDescent="0.35">
      <c r="A81" s="32" t="s">
        <v>22</v>
      </c>
      <c r="B81" s="9" t="s">
        <v>51</v>
      </c>
      <c r="C81" s="5">
        <f>50%*(4/12)*1.5%*(8.33%+11.11%)</f>
        <v>4.8599999999999989E-4</v>
      </c>
      <c r="D81" s="3">
        <f t="shared" si="6"/>
        <v>1.3508272799999994</v>
      </c>
      <c r="E81" s="5">
        <f>50%*(4/12)*1.5%*(8.33%+11.11%)</f>
        <v>4.8599999999999989E-4</v>
      </c>
      <c r="F81" s="3">
        <f t="shared" si="9"/>
        <v>1.5849140399999995</v>
      </c>
      <c r="G81" s="5">
        <f>50%*(4/12)*1.5%*(8.33%+11.11%)</f>
        <v>4.8599999999999989E-4</v>
      </c>
      <c r="H81" s="3">
        <f t="shared" si="7"/>
        <v>1.7560715759999992</v>
      </c>
      <c r="I81" s="5">
        <f>50%*(4/12)*1.5%*(8.33%+11.11%)</f>
        <v>4.8599999999999989E-4</v>
      </c>
      <c r="J81" s="3">
        <f t="shared" si="8"/>
        <v>1.3508272799999994</v>
      </c>
    </row>
    <row r="82" spans="1:10" x14ac:dyDescent="0.35">
      <c r="A82" s="29" t="s">
        <v>24</v>
      </c>
      <c r="B82" s="27" t="s">
        <v>52</v>
      </c>
      <c r="C82" s="6"/>
      <c r="D82" s="3">
        <f t="shared" si="6"/>
        <v>0</v>
      </c>
      <c r="E82" s="6"/>
      <c r="F82" s="3">
        <f t="shared" si="9"/>
        <v>0</v>
      </c>
      <c r="G82" s="6"/>
      <c r="H82" s="3">
        <f t="shared" si="7"/>
        <v>0</v>
      </c>
      <c r="I82" s="6"/>
      <c r="J82" s="3">
        <f t="shared" si="8"/>
        <v>0</v>
      </c>
    </row>
    <row r="83" spans="1:10" x14ac:dyDescent="0.35">
      <c r="A83" s="116" t="s">
        <v>9</v>
      </c>
      <c r="B83" s="116"/>
      <c r="C83" s="27"/>
      <c r="D83" s="4">
        <f>ROUND(SUM(D77:D82),2)</f>
        <v>75.94</v>
      </c>
      <c r="E83" s="27"/>
      <c r="F83" s="4">
        <f>ROUND(SUM(F77:F82),2)</f>
        <v>89.1</v>
      </c>
      <c r="G83" s="27"/>
      <c r="H83" s="4">
        <f>ROUND(SUM(H77:H82),2)</f>
        <v>98.72</v>
      </c>
      <c r="I83" s="27"/>
      <c r="J83" s="4">
        <f>ROUND(SUM(J77:J82),2)</f>
        <v>75.94</v>
      </c>
    </row>
    <row r="85" spans="1:10" ht="15" customHeight="1" x14ac:dyDescent="0.35"/>
    <row r="86" spans="1:10" ht="40" customHeight="1" x14ac:dyDescent="0.35">
      <c r="A86" s="96" t="s">
        <v>53</v>
      </c>
      <c r="B86" s="96"/>
      <c r="C86" s="96" t="str">
        <f>$C$19</f>
        <v>Copeiragem</v>
      </c>
      <c r="D86" s="96"/>
      <c r="E86" s="96" t="str">
        <f>$E$19</f>
        <v>Copeiragem (adicional de insalubridade)</v>
      </c>
      <c r="F86" s="96"/>
      <c r="G86" s="96" t="str">
        <f>$G$19</f>
        <v>Copeiragem (adicional de periculosidade)</v>
      </c>
      <c r="H86" s="96"/>
      <c r="I86" s="96" t="str">
        <f>$I$19</f>
        <v>Carregador</v>
      </c>
      <c r="J86" s="96"/>
    </row>
    <row r="87" spans="1:10" x14ac:dyDescent="0.35">
      <c r="A87" s="29" t="s">
        <v>54</v>
      </c>
      <c r="B87" s="29" t="s">
        <v>58</v>
      </c>
      <c r="C87" s="29"/>
      <c r="D87" s="29" t="s">
        <v>6</v>
      </c>
      <c r="E87" s="29"/>
      <c r="F87" s="29" t="s">
        <v>6</v>
      </c>
      <c r="G87" s="29"/>
      <c r="H87" s="29" t="s">
        <v>6</v>
      </c>
      <c r="I87" s="29"/>
      <c r="J87" s="29" t="s">
        <v>6</v>
      </c>
    </row>
    <row r="88" spans="1:10" ht="29" x14ac:dyDescent="0.35">
      <c r="A88" s="29" t="s">
        <v>0</v>
      </c>
      <c r="B88" s="9" t="s">
        <v>55</v>
      </c>
      <c r="C88" s="10"/>
      <c r="D88" s="3">
        <v>0</v>
      </c>
      <c r="E88" s="10"/>
      <c r="F88" s="3">
        <v>0</v>
      </c>
      <c r="G88" s="7"/>
      <c r="H88" s="3">
        <v>0</v>
      </c>
      <c r="I88" s="7"/>
      <c r="J88" s="3">
        <v>0</v>
      </c>
    </row>
    <row r="89" spans="1:10" x14ac:dyDescent="0.35">
      <c r="A89" s="116" t="s">
        <v>9</v>
      </c>
      <c r="B89" s="116"/>
      <c r="C89" s="27"/>
      <c r="D89" s="4">
        <f>SUM(D88:D88)</f>
        <v>0</v>
      </c>
      <c r="E89" s="27"/>
      <c r="F89" s="4">
        <f>SUM(F88:F88)</f>
        <v>0</v>
      </c>
      <c r="G89" s="27"/>
      <c r="H89" s="4">
        <f>SUM(H88:H88)</f>
        <v>0</v>
      </c>
      <c r="I89" s="27"/>
      <c r="J89" s="4">
        <f>SUM(J88:J88)</f>
        <v>0</v>
      </c>
    </row>
    <row r="91" spans="1:10" ht="15" customHeight="1" x14ac:dyDescent="0.35"/>
    <row r="92" spans="1:10" ht="40" customHeight="1" x14ac:dyDescent="0.35">
      <c r="A92" s="96" t="s">
        <v>56</v>
      </c>
      <c r="B92" s="96"/>
      <c r="C92" s="96" t="str">
        <f>$C$19</f>
        <v>Copeiragem</v>
      </c>
      <c r="D92" s="96"/>
      <c r="E92" s="96" t="str">
        <f>$E$19</f>
        <v>Copeiragem (adicional de insalubridade)</v>
      </c>
      <c r="F92" s="96"/>
      <c r="G92" s="96" t="str">
        <f>$G$19</f>
        <v>Copeiragem (adicional de periculosidade)</v>
      </c>
      <c r="H92" s="96"/>
      <c r="I92" s="96" t="str">
        <f>$I$19</f>
        <v>Carregador</v>
      </c>
      <c r="J92" s="96"/>
    </row>
    <row r="93" spans="1:10" x14ac:dyDescent="0.35">
      <c r="A93" s="29">
        <v>4</v>
      </c>
      <c r="B93" s="29" t="s">
        <v>99</v>
      </c>
      <c r="C93" s="29"/>
      <c r="D93" s="29" t="s">
        <v>6</v>
      </c>
      <c r="E93" s="29"/>
      <c r="F93" s="29" t="s">
        <v>6</v>
      </c>
      <c r="G93" s="29"/>
      <c r="H93" s="29" t="s">
        <v>6</v>
      </c>
      <c r="I93" s="29"/>
      <c r="J93" s="29" t="s">
        <v>6</v>
      </c>
    </row>
    <row r="94" spans="1:10" x14ac:dyDescent="0.35">
      <c r="A94" s="29" t="s">
        <v>46</v>
      </c>
      <c r="B94" s="27" t="s">
        <v>57</v>
      </c>
      <c r="C94" s="6"/>
      <c r="D94" s="28">
        <f>D83</f>
        <v>75.94</v>
      </c>
      <c r="E94" s="6"/>
      <c r="F94" s="28">
        <f>F83</f>
        <v>89.1</v>
      </c>
      <c r="G94" s="7"/>
      <c r="H94" s="28">
        <f>H83</f>
        <v>98.72</v>
      </c>
      <c r="I94" s="7"/>
      <c r="J94" s="28">
        <f>J83</f>
        <v>75.94</v>
      </c>
    </row>
    <row r="95" spans="1:10" x14ac:dyDescent="0.35">
      <c r="A95" s="29" t="s">
        <v>54</v>
      </c>
      <c r="B95" s="27" t="s">
        <v>58</v>
      </c>
      <c r="C95" s="6"/>
      <c r="D95" s="28">
        <f>D89</f>
        <v>0</v>
      </c>
      <c r="E95" s="6"/>
      <c r="F95" s="28">
        <f>F89</f>
        <v>0</v>
      </c>
      <c r="G95" s="7"/>
      <c r="H95" s="28">
        <f>H89</f>
        <v>0</v>
      </c>
      <c r="I95" s="7"/>
      <c r="J95" s="28">
        <f>J89</f>
        <v>0</v>
      </c>
    </row>
    <row r="96" spans="1:10" x14ac:dyDescent="0.35">
      <c r="A96" s="116" t="s">
        <v>9</v>
      </c>
      <c r="B96" s="116"/>
      <c r="C96" s="27"/>
      <c r="D96" s="4">
        <f>ROUND(SUM(D94:D95),2)</f>
        <v>75.94</v>
      </c>
      <c r="E96" s="27"/>
      <c r="F96" s="4">
        <f>ROUND(SUM(F94:F95),2)</f>
        <v>89.1</v>
      </c>
      <c r="G96" s="27"/>
      <c r="H96" s="4">
        <f>ROUND(SUM(H94:H95),2)</f>
        <v>98.72</v>
      </c>
      <c r="I96" s="27"/>
      <c r="J96" s="4">
        <f>ROUND(SUM(J94:J95),2)</f>
        <v>75.94</v>
      </c>
    </row>
    <row r="98" spans="1:11" ht="15" customHeight="1" x14ac:dyDescent="0.35"/>
    <row r="99" spans="1:11" ht="40" customHeight="1" x14ac:dyDescent="0.35">
      <c r="A99" s="96" t="s">
        <v>59</v>
      </c>
      <c r="B99" s="96"/>
      <c r="C99" s="96" t="str">
        <f>$C$19</f>
        <v>Copeiragem</v>
      </c>
      <c r="D99" s="96"/>
      <c r="E99" s="96" t="str">
        <f>$E$19</f>
        <v>Copeiragem (adicional de insalubridade)</v>
      </c>
      <c r="F99" s="96"/>
      <c r="G99" s="96" t="str">
        <f>$G$19</f>
        <v>Copeiragem (adicional de periculosidade)</v>
      </c>
      <c r="H99" s="96"/>
      <c r="I99" s="96" t="str">
        <f>$I$19</f>
        <v>Carregador</v>
      </c>
      <c r="J99" s="96"/>
    </row>
    <row r="100" spans="1:11" x14ac:dyDescent="0.35">
      <c r="A100" s="29">
        <v>5</v>
      </c>
      <c r="B100" s="29" t="s">
        <v>60</v>
      </c>
      <c r="C100" s="29"/>
      <c r="D100" s="29" t="s">
        <v>6</v>
      </c>
      <c r="E100" s="29"/>
      <c r="F100" s="29" t="s">
        <v>6</v>
      </c>
      <c r="G100" s="29"/>
      <c r="H100" s="29" t="s">
        <v>6</v>
      </c>
      <c r="I100" s="29"/>
      <c r="J100" s="29" t="s">
        <v>6</v>
      </c>
    </row>
    <row r="101" spans="1:11" x14ac:dyDescent="0.35">
      <c r="A101" s="29" t="s">
        <v>0</v>
      </c>
      <c r="B101" s="27" t="s">
        <v>273</v>
      </c>
      <c r="C101" s="6"/>
      <c r="D101" s="28">
        <f>Uniformes!B10</f>
        <v>78.349999999999994</v>
      </c>
      <c r="E101" s="6"/>
      <c r="F101" s="28">
        <f>Uniformes!B10</f>
        <v>78.349999999999994</v>
      </c>
      <c r="G101" s="7"/>
      <c r="H101" s="28">
        <f>Uniformes!B10</f>
        <v>78.349999999999994</v>
      </c>
      <c r="I101" s="7"/>
      <c r="J101" s="28">
        <f>Uniformes!B26</f>
        <v>163.51600000000002</v>
      </c>
    </row>
    <row r="102" spans="1:11" x14ac:dyDescent="0.35">
      <c r="A102" s="29" t="s">
        <v>1</v>
      </c>
      <c r="B102" s="27" t="s">
        <v>61</v>
      </c>
      <c r="C102" s="6"/>
      <c r="D102" s="83">
        <f>Mat_Ins_Copeiragem!L56</f>
        <v>973.40577777777764</v>
      </c>
      <c r="E102" s="6"/>
      <c r="F102" s="83">
        <f>Mat_Ins_Copeiragem!L56</f>
        <v>973.40577777777764</v>
      </c>
      <c r="G102" s="7"/>
      <c r="H102" s="83">
        <f>Mat_Ins_Copeiragem!L56</f>
        <v>973.40577777777764</v>
      </c>
      <c r="I102" s="7"/>
      <c r="J102" s="29"/>
    </row>
    <row r="103" spans="1:11" x14ac:dyDescent="0.35">
      <c r="A103" s="29" t="s">
        <v>2</v>
      </c>
      <c r="B103" s="27" t="s">
        <v>62</v>
      </c>
      <c r="C103" s="6"/>
      <c r="D103" s="29"/>
      <c r="E103" s="6"/>
      <c r="F103" s="29"/>
      <c r="G103" s="7"/>
      <c r="H103" s="29"/>
      <c r="I103" s="7"/>
      <c r="J103" s="29"/>
    </row>
    <row r="104" spans="1:11" x14ac:dyDescent="0.35">
      <c r="A104" s="32" t="s">
        <v>3</v>
      </c>
      <c r="B104" s="9" t="s">
        <v>8</v>
      </c>
      <c r="C104" s="6"/>
      <c r="D104" s="29"/>
      <c r="E104" s="6"/>
      <c r="F104" s="29"/>
      <c r="G104" s="7"/>
      <c r="H104" s="29"/>
      <c r="I104" s="7"/>
      <c r="J104" s="29"/>
    </row>
    <row r="105" spans="1:11" x14ac:dyDescent="0.35">
      <c r="A105" s="116" t="s">
        <v>9</v>
      </c>
      <c r="B105" s="116"/>
      <c r="C105" s="27"/>
      <c r="D105" s="4">
        <f>ROUND(SUM(D101:D104),2)</f>
        <v>1051.76</v>
      </c>
      <c r="E105" s="27"/>
      <c r="F105" s="4">
        <f>ROUND(SUM(F101:F104),2)</f>
        <v>1051.76</v>
      </c>
      <c r="G105" s="27"/>
      <c r="H105" s="4">
        <f>ROUND(SUM(H101:H104),2)</f>
        <v>1051.76</v>
      </c>
      <c r="I105" s="27"/>
      <c r="J105" s="4">
        <f>ROUND(SUM(J101:J104),2)</f>
        <v>163.52000000000001</v>
      </c>
    </row>
    <row r="107" spans="1:11" ht="15" customHeight="1" x14ac:dyDescent="0.35"/>
    <row r="108" spans="1:11" ht="40" customHeight="1" x14ac:dyDescent="0.35">
      <c r="A108" s="96" t="s">
        <v>63</v>
      </c>
      <c r="B108" s="96"/>
      <c r="C108" s="96" t="str">
        <f>$C$19</f>
        <v>Copeiragem</v>
      </c>
      <c r="D108" s="96"/>
      <c r="E108" s="96" t="str">
        <f>$E$19</f>
        <v>Copeiragem (adicional de insalubridade)</v>
      </c>
      <c r="F108" s="96"/>
      <c r="G108" s="96" t="str">
        <f>$G$19</f>
        <v>Copeiragem (adicional de periculosidade)</v>
      </c>
      <c r="H108" s="96"/>
      <c r="I108" s="96" t="str">
        <f>$I$19</f>
        <v>Carregador</v>
      </c>
      <c r="J108" s="96"/>
    </row>
    <row r="109" spans="1:11" x14ac:dyDescent="0.35">
      <c r="A109" s="29">
        <v>6</v>
      </c>
      <c r="B109" s="29" t="s">
        <v>100</v>
      </c>
      <c r="C109" s="29" t="s">
        <v>13</v>
      </c>
      <c r="D109" s="29" t="s">
        <v>6</v>
      </c>
      <c r="E109" s="29" t="s">
        <v>13</v>
      </c>
      <c r="F109" s="29" t="s">
        <v>6</v>
      </c>
      <c r="G109" s="29" t="s">
        <v>13</v>
      </c>
      <c r="H109" s="29" t="s">
        <v>6</v>
      </c>
      <c r="I109" s="29" t="s">
        <v>13</v>
      </c>
      <c r="J109" s="29" t="s">
        <v>6</v>
      </c>
      <c r="K109" t="s">
        <v>137</v>
      </c>
    </row>
    <row r="110" spans="1:11" x14ac:dyDescent="0.35">
      <c r="A110" s="29" t="s">
        <v>0</v>
      </c>
      <c r="B110" s="27" t="s">
        <v>64</v>
      </c>
      <c r="C110" s="5">
        <f>ROUND(LDI!$B$10,2)</f>
        <v>0.01</v>
      </c>
      <c r="D110" s="28">
        <f>ROUND(D125*C110,2)</f>
        <v>49.27</v>
      </c>
      <c r="E110" s="5">
        <f>ROUND(LDI!$B$10,2)</f>
        <v>0.01</v>
      </c>
      <c r="F110" s="28">
        <f>ROUND(F125*E110,2)</f>
        <v>54.21</v>
      </c>
      <c r="G110" s="5">
        <f>ROUND(LDI!$B$10,2)</f>
        <v>0.01</v>
      </c>
      <c r="H110" s="28">
        <f>ROUND(H125*G110,2)</f>
        <v>57.83</v>
      </c>
      <c r="I110" s="5">
        <f>ROUND(LDI!$B$10,2)</f>
        <v>0.01</v>
      </c>
      <c r="J110" s="28">
        <f>ROUND(J125*I110,2)</f>
        <v>40.380000000000003</v>
      </c>
      <c r="K110" t="s">
        <v>393</v>
      </c>
    </row>
    <row r="111" spans="1:11" x14ac:dyDescent="0.35">
      <c r="A111" s="29" t="s">
        <v>1</v>
      </c>
      <c r="B111" s="27" t="s">
        <v>65</v>
      </c>
      <c r="C111" s="5">
        <v>0.1</v>
      </c>
      <c r="D111" s="28">
        <f>ROUND((D125+D110)*C111,2)</f>
        <v>497.59</v>
      </c>
      <c r="E111" s="5">
        <v>0.1</v>
      </c>
      <c r="F111" s="28">
        <f>ROUND((F125+F110)*E111,2)</f>
        <v>547.55999999999995</v>
      </c>
      <c r="G111" s="5">
        <v>0.1</v>
      </c>
      <c r="H111" s="28">
        <f>ROUND((H125+H110)*G111,2)</f>
        <v>584.11</v>
      </c>
      <c r="I111" s="5">
        <v>0.1</v>
      </c>
      <c r="J111" s="28">
        <f>ROUND((J125+J110)*I111,2)</f>
        <v>407.87</v>
      </c>
    </row>
    <row r="112" spans="1:11" x14ac:dyDescent="0.35">
      <c r="A112" s="29" t="s">
        <v>2</v>
      </c>
      <c r="B112" s="27" t="s">
        <v>66</v>
      </c>
      <c r="C112" s="5">
        <f t="shared" ref="C112:J112" si="10">SUM(C113:C115)</f>
        <v>0.14250000000000002</v>
      </c>
      <c r="D112" s="28">
        <f t="shared" si="10"/>
        <v>909.58</v>
      </c>
      <c r="E112" s="5">
        <f t="shared" ref="E112:F112" si="11">SUM(E113:E115)</f>
        <v>0.14250000000000002</v>
      </c>
      <c r="F112" s="28">
        <f t="shared" si="11"/>
        <v>1000.94</v>
      </c>
      <c r="G112" s="5">
        <f t="shared" si="10"/>
        <v>0.14250000000000002</v>
      </c>
      <c r="H112" s="28">
        <f t="shared" si="10"/>
        <v>1067.73</v>
      </c>
      <c r="I112" s="5">
        <f t="shared" si="10"/>
        <v>0.14250000000000002</v>
      </c>
      <c r="J112" s="28">
        <f t="shared" si="10"/>
        <v>745.58999999999992</v>
      </c>
      <c r="K112" t="s">
        <v>173</v>
      </c>
    </row>
    <row r="113" spans="1:11" x14ac:dyDescent="0.35">
      <c r="A113" s="32" t="s">
        <v>67</v>
      </c>
      <c r="B113" s="9" t="s">
        <v>68</v>
      </c>
      <c r="C113" s="5">
        <v>1.6500000000000001E-2</v>
      </c>
      <c r="D113" s="28">
        <f>ROUND(C113*D127,2)</f>
        <v>105.32</v>
      </c>
      <c r="E113" s="5">
        <v>1.6500000000000001E-2</v>
      </c>
      <c r="F113" s="28">
        <f>ROUND(E113*F127,2)</f>
        <v>115.9</v>
      </c>
      <c r="G113" s="5">
        <v>1.6500000000000001E-2</v>
      </c>
      <c r="H113" s="28">
        <f>ROUND(G113*H127,2)</f>
        <v>123.63</v>
      </c>
      <c r="I113" s="5">
        <v>1.6500000000000001E-2</v>
      </c>
      <c r="J113" s="28">
        <f>ROUND(I113*J127,2)</f>
        <v>86.33</v>
      </c>
      <c r="K113" t="s">
        <v>174</v>
      </c>
    </row>
    <row r="114" spans="1:11" x14ac:dyDescent="0.35">
      <c r="A114" s="32" t="s">
        <v>69</v>
      </c>
      <c r="B114" s="9" t="s">
        <v>70</v>
      </c>
      <c r="C114" s="5">
        <v>7.5999999999999998E-2</v>
      </c>
      <c r="D114" s="28">
        <f>ROUND(C114*D127,2)</f>
        <v>485.11</v>
      </c>
      <c r="E114" s="5">
        <v>7.5999999999999998E-2</v>
      </c>
      <c r="F114" s="28">
        <f>ROUND(E114*F127,2)</f>
        <v>533.83000000000004</v>
      </c>
      <c r="G114" s="5">
        <v>7.5999999999999998E-2</v>
      </c>
      <c r="H114" s="28">
        <f>ROUND(G114*H127,2)</f>
        <v>569.46</v>
      </c>
      <c r="I114" s="5">
        <v>7.5999999999999998E-2</v>
      </c>
      <c r="J114" s="28">
        <f>ROUND(I114*J127,2)</f>
        <v>397.65</v>
      </c>
      <c r="K114" t="s">
        <v>175</v>
      </c>
    </row>
    <row r="115" spans="1:11" x14ac:dyDescent="0.35">
      <c r="A115" s="29" t="s">
        <v>71</v>
      </c>
      <c r="B115" s="27" t="s">
        <v>72</v>
      </c>
      <c r="C115" s="5">
        <v>0.05</v>
      </c>
      <c r="D115" s="28">
        <f>ROUND(C115*D127,2)</f>
        <v>319.14999999999998</v>
      </c>
      <c r="E115" s="5">
        <v>0.05</v>
      </c>
      <c r="F115" s="28">
        <f>ROUND(E115*F127,2)</f>
        <v>351.21</v>
      </c>
      <c r="G115" s="5">
        <v>0.05</v>
      </c>
      <c r="H115" s="28">
        <f>ROUND(G115*H127,2)</f>
        <v>374.64</v>
      </c>
      <c r="I115" s="5">
        <v>0.05</v>
      </c>
      <c r="J115" s="28">
        <f>ROUND(I115*J127,2)</f>
        <v>261.61</v>
      </c>
    </row>
    <row r="116" spans="1:11" x14ac:dyDescent="0.35">
      <c r="A116" s="116" t="s">
        <v>9</v>
      </c>
      <c r="B116" s="116"/>
      <c r="C116" s="27"/>
      <c r="D116" s="4">
        <f>ROUND(SUM(D110+D111+D112),2)</f>
        <v>1456.44</v>
      </c>
      <c r="E116" s="27"/>
      <c r="F116" s="4">
        <f>ROUND(SUM(F110+F111+F112),2)</f>
        <v>1602.71</v>
      </c>
      <c r="G116" s="27"/>
      <c r="H116" s="4">
        <f>ROUND(SUM(H110+H111+H112),2)</f>
        <v>1709.67</v>
      </c>
      <c r="I116" s="27"/>
      <c r="J116" s="4">
        <f>ROUND(SUM(J110+J111+J112),2)</f>
        <v>1193.8399999999999</v>
      </c>
    </row>
    <row r="117" spans="1:11" ht="15" customHeight="1" x14ac:dyDescent="0.35">
      <c r="A117" s="33"/>
      <c r="B117" s="33"/>
      <c r="D117" s="11"/>
      <c r="F117" s="11"/>
      <c r="H117" s="11"/>
      <c r="J117" s="11"/>
    </row>
    <row r="118" spans="1:11" ht="40" customHeight="1" x14ac:dyDescent="0.35">
      <c r="A118" s="96" t="s">
        <v>73</v>
      </c>
      <c r="B118" s="96"/>
      <c r="C118" s="96" t="str">
        <f>$C$19</f>
        <v>Copeiragem</v>
      </c>
      <c r="D118" s="96"/>
      <c r="E118" s="96" t="str">
        <f>$E$19</f>
        <v>Copeiragem (adicional de insalubridade)</v>
      </c>
      <c r="F118" s="96"/>
      <c r="G118" s="96" t="str">
        <f>$G$19</f>
        <v>Copeiragem (adicional de periculosidade)</v>
      </c>
      <c r="H118" s="96"/>
      <c r="I118" s="96" t="str">
        <f>$I$19</f>
        <v>Carregador</v>
      </c>
      <c r="J118" s="96"/>
    </row>
    <row r="119" spans="1:11" x14ac:dyDescent="0.35">
      <c r="A119" s="123" t="s">
        <v>74</v>
      </c>
      <c r="B119" s="123"/>
      <c r="C119" s="29" t="s">
        <v>13</v>
      </c>
      <c r="D119" s="29" t="s">
        <v>6</v>
      </c>
      <c r="E119" s="29" t="s">
        <v>13</v>
      </c>
      <c r="F119" s="29" t="s">
        <v>6</v>
      </c>
      <c r="G119" s="29" t="s">
        <v>13</v>
      </c>
      <c r="H119" s="29" t="s">
        <v>6</v>
      </c>
      <c r="I119" s="29" t="s">
        <v>13</v>
      </c>
      <c r="J119" s="29" t="s">
        <v>6</v>
      </c>
    </row>
    <row r="120" spans="1:11" x14ac:dyDescent="0.35">
      <c r="A120" s="29" t="s">
        <v>0</v>
      </c>
      <c r="B120" s="27" t="s">
        <v>75</v>
      </c>
      <c r="C120" s="7">
        <f>(D120/$D$127)</f>
        <v>0.25530453314722307</v>
      </c>
      <c r="D120" s="28">
        <f>D25</f>
        <v>1629.62</v>
      </c>
      <c r="E120" s="7">
        <f>(F120/$F$127)</f>
        <v>0.27220744323190865</v>
      </c>
      <c r="F120" s="28">
        <f>F25</f>
        <v>1912.02</v>
      </c>
      <c r="G120" s="34">
        <f>H120/$H$127</f>
        <v>0.28273519959036036</v>
      </c>
      <c r="H120" s="28">
        <f>H25</f>
        <v>2118.5059999999999</v>
      </c>
      <c r="I120" s="34">
        <f>J120/$J$127</f>
        <v>0.31145991071209655</v>
      </c>
      <c r="J120" s="28">
        <f>J25</f>
        <v>1629.62</v>
      </c>
    </row>
    <row r="121" spans="1:11" x14ac:dyDescent="0.35">
      <c r="A121" s="29" t="s">
        <v>1</v>
      </c>
      <c r="B121" s="27" t="s">
        <v>76</v>
      </c>
      <c r="C121" s="7">
        <f t="shared" ref="C121:C126" si="12">(D121/$D$127)</f>
        <v>0.32157072491623206</v>
      </c>
      <c r="D121" s="28">
        <f>D62</f>
        <v>2052.6</v>
      </c>
      <c r="E121" s="7">
        <f>(F121/$F$127)</f>
        <v>0.31771202220086031</v>
      </c>
      <c r="F121" s="28">
        <f>F62</f>
        <v>2231.65</v>
      </c>
      <c r="G121" s="34">
        <f>H121/$H$127</f>
        <v>0.31530524142589444</v>
      </c>
      <c r="H121" s="28">
        <f>H62</f>
        <v>2362.5500000000002</v>
      </c>
      <c r="I121" s="34">
        <f>J121/$J$127</f>
        <v>0.39230164868352713</v>
      </c>
      <c r="J121" s="28">
        <f>J62</f>
        <v>2052.6</v>
      </c>
    </row>
    <row r="122" spans="1:11" x14ac:dyDescent="0.35">
      <c r="A122" s="29" t="s">
        <v>2</v>
      </c>
      <c r="B122" s="27" t="s">
        <v>77</v>
      </c>
      <c r="C122" s="7">
        <f t="shared" si="12"/>
        <v>1.827968049460487E-2</v>
      </c>
      <c r="D122" s="28">
        <f>D72</f>
        <v>116.68</v>
      </c>
      <c r="E122" s="7">
        <f>(F122/$F$127)</f>
        <v>1.9488539295622415E-2</v>
      </c>
      <c r="F122" s="28">
        <f>F72</f>
        <v>136.88999999999999</v>
      </c>
      <c r="G122" s="34">
        <f>H122/$H$127</f>
        <v>2.0243169041704798E-2</v>
      </c>
      <c r="H122" s="28">
        <f>H72</f>
        <v>151.68</v>
      </c>
      <c r="I122" s="34">
        <f>J122/$J$127</f>
        <v>2.230037823657505E-2</v>
      </c>
      <c r="J122" s="28">
        <f>J72</f>
        <v>116.68</v>
      </c>
    </row>
    <row r="123" spans="1:11" x14ac:dyDescent="0.35">
      <c r="A123" s="32" t="s">
        <v>3</v>
      </c>
      <c r="B123" s="9" t="s">
        <v>78</v>
      </c>
      <c r="C123" s="7">
        <f t="shared" si="12"/>
        <v>1.1897145498459837E-2</v>
      </c>
      <c r="D123" s="28">
        <f>D96</f>
        <v>75.94</v>
      </c>
      <c r="E123" s="7">
        <f>(F123/$F$127)</f>
        <v>1.2684848062239443E-2</v>
      </c>
      <c r="F123" s="28">
        <f>F96</f>
        <v>89.1</v>
      </c>
      <c r="G123" s="34">
        <f>H123/$H$127</f>
        <v>1.3175142720181285E-2</v>
      </c>
      <c r="H123" s="28">
        <f>H96</f>
        <v>98.72</v>
      </c>
      <c r="I123" s="34">
        <f>J123/$J$127</f>
        <v>1.4513976030900834E-2</v>
      </c>
      <c r="J123" s="28">
        <f>J96</f>
        <v>75.94</v>
      </c>
    </row>
    <row r="124" spans="1:11" x14ac:dyDescent="0.35">
      <c r="A124" s="32" t="s">
        <v>22</v>
      </c>
      <c r="B124" s="9" t="s">
        <v>79</v>
      </c>
      <c r="C124" s="7">
        <f t="shared" si="12"/>
        <v>0.16477405516802895</v>
      </c>
      <c r="D124" s="28">
        <f>D105</f>
        <v>1051.76</v>
      </c>
      <c r="E124" s="7">
        <f>(F124/$F$127)</f>
        <v>0.14973530637419705</v>
      </c>
      <c r="F124" s="28">
        <f>F105</f>
        <v>1051.76</v>
      </c>
      <c r="G124" s="34">
        <f>H124/$H$127</f>
        <v>0.14036758617684228</v>
      </c>
      <c r="H124" s="28">
        <f>H105</f>
        <v>1051.76</v>
      </c>
      <c r="I124" s="34">
        <f>J124/$J$127</f>
        <v>3.1252638406280016E-2</v>
      </c>
      <c r="J124" s="28">
        <f>J105</f>
        <v>163.52000000000001</v>
      </c>
    </row>
    <row r="125" spans="1:11" x14ac:dyDescent="0.35">
      <c r="A125" s="125" t="s">
        <v>80</v>
      </c>
      <c r="B125" s="125"/>
      <c r="C125" s="7"/>
      <c r="D125" s="35">
        <f>ROUND(SUM(D120:D124),2)</f>
        <v>4926.6000000000004</v>
      </c>
      <c r="E125" s="7"/>
      <c r="F125" s="35">
        <f>ROUND(SUM(F120:F124),2)</f>
        <v>5421.42</v>
      </c>
      <c r="G125" s="34"/>
      <c r="H125" s="35">
        <f>ROUND(SUM(H120:H124),2)</f>
        <v>5783.22</v>
      </c>
      <c r="I125" s="34"/>
      <c r="J125" s="35">
        <f>ROUND(SUM(J120:J124),2)</f>
        <v>4038.36</v>
      </c>
    </row>
    <row r="126" spans="1:11" x14ac:dyDescent="0.35">
      <c r="A126" s="32" t="s">
        <v>24</v>
      </c>
      <c r="B126" s="36" t="s">
        <v>63</v>
      </c>
      <c r="C126" s="7">
        <f t="shared" si="12"/>
        <v>0.2281732761361186</v>
      </c>
      <c r="D126" s="28">
        <f>D116</f>
        <v>1456.44</v>
      </c>
      <c r="E126" s="7">
        <f>(F126/$F$127)</f>
        <v>0.22817208572201772</v>
      </c>
      <c r="F126" s="28">
        <f>F116</f>
        <v>1602.71</v>
      </c>
      <c r="G126" s="34">
        <f>H126/$H$127</f>
        <v>0.22817206497581383</v>
      </c>
      <c r="H126" s="28">
        <f>H116</f>
        <v>1709.67</v>
      </c>
      <c r="I126" s="34">
        <f>J126/$J$127</f>
        <v>0.22817178225876547</v>
      </c>
      <c r="J126" s="28">
        <f>J116</f>
        <v>1193.8399999999999</v>
      </c>
    </row>
    <row r="127" spans="1:11" x14ac:dyDescent="0.35">
      <c r="A127" s="125" t="s">
        <v>81</v>
      </c>
      <c r="B127" s="125"/>
      <c r="C127" s="37">
        <f>SUM(C120:C126)</f>
        <v>0.99999941536066728</v>
      </c>
      <c r="D127" s="35">
        <f>(D125+D110+D111)/(1-C112)</f>
        <v>6383.0437317784272</v>
      </c>
      <c r="E127" s="37">
        <f>SUM(E120:E126)</f>
        <v>1.0000002448868457</v>
      </c>
      <c r="F127" s="35">
        <f>(F125+F110+F111)/(1-E112)</f>
        <v>7024.1282798833827</v>
      </c>
      <c r="G127" s="34">
        <f>SUM(G120:G126)</f>
        <v>0.99999840393079698</v>
      </c>
      <c r="H127" s="35">
        <f>(H125+H110+H111)/(1-G112)</f>
        <v>7492.8979591836742</v>
      </c>
      <c r="I127" s="34">
        <f>SUM(I120:I126)</f>
        <v>1.0000003343281452</v>
      </c>
      <c r="J127" s="35">
        <f>(J125+J110+J111)/(1-I112)</f>
        <v>5232.198250728864</v>
      </c>
    </row>
    <row r="128" spans="1:11" x14ac:dyDescent="0.35">
      <c r="D128" s="38">
        <f>D127/D120</f>
        <v>3.9168908897647472</v>
      </c>
      <c r="F128" s="38">
        <f>F127/F120</f>
        <v>3.6736688318549926</v>
      </c>
      <c r="G128" s="38"/>
      <c r="H128" s="38">
        <f>H127/H120</f>
        <v>3.536878328021575</v>
      </c>
      <c r="I128" s="38"/>
      <c r="J128" s="38">
        <f>J127/J120</f>
        <v>3.2106860806377342</v>
      </c>
    </row>
    <row r="129" spans="1:22" ht="15" customHeight="1" x14ac:dyDescent="0.35">
      <c r="D129" s="38">
        <f>(D127-D120)/D120</f>
        <v>2.9168908897647472</v>
      </c>
      <c r="F129" s="38">
        <f>(F127-F120)/F120</f>
        <v>2.6736688318549926</v>
      </c>
      <c r="G129" s="38"/>
      <c r="H129" s="38">
        <f>(H127-H120)/H120</f>
        <v>2.536878328021575</v>
      </c>
      <c r="I129" s="38"/>
      <c r="J129" s="38">
        <f>(J127-J120)/J120</f>
        <v>2.2106860806377342</v>
      </c>
    </row>
    <row r="130" spans="1:22" ht="40" customHeight="1" x14ac:dyDescent="0.35">
      <c r="A130" s="96" t="s">
        <v>356</v>
      </c>
      <c r="B130" s="96"/>
      <c r="C130" s="96"/>
      <c r="D130" s="96"/>
      <c r="E130" s="96"/>
      <c r="F130" s="96"/>
      <c r="G130" s="96"/>
      <c r="H130" s="96"/>
      <c r="I130" s="96"/>
      <c r="J130" s="96"/>
      <c r="K130" s="96"/>
      <c r="L130" s="96"/>
    </row>
    <row r="131" spans="1:22" x14ac:dyDescent="0.35">
      <c r="A131" s="96" t="s">
        <v>82</v>
      </c>
      <c r="B131" s="96"/>
      <c r="C131" s="96" t="s">
        <v>83</v>
      </c>
      <c r="D131" s="96"/>
      <c r="E131" s="96" t="s">
        <v>84</v>
      </c>
      <c r="F131" s="96"/>
      <c r="G131" s="96" t="s">
        <v>85</v>
      </c>
      <c r="H131" s="96"/>
      <c r="I131" s="96" t="s">
        <v>86</v>
      </c>
      <c r="J131" s="96"/>
      <c r="K131" s="96" t="s">
        <v>87</v>
      </c>
      <c r="L131" s="96"/>
    </row>
    <row r="132" spans="1:22" x14ac:dyDescent="0.35">
      <c r="A132" s="29" t="s">
        <v>88</v>
      </c>
      <c r="B132" s="39" t="str">
        <f>C19</f>
        <v>Copeiragem</v>
      </c>
      <c r="C132" s="126">
        <f>ROUND(D127,2)</f>
        <v>6383.04</v>
      </c>
      <c r="D132" s="126"/>
      <c r="E132" s="127">
        <v>1</v>
      </c>
      <c r="F132" s="127"/>
      <c r="G132" s="126">
        <f>(C132*E132)</f>
        <v>6383.04</v>
      </c>
      <c r="H132" s="126"/>
      <c r="I132" s="127">
        <v>44</v>
      </c>
      <c r="J132" s="127"/>
      <c r="K132" s="126">
        <f>G132*I132</f>
        <v>280853.76000000001</v>
      </c>
      <c r="L132" s="126"/>
    </row>
    <row r="133" spans="1:22" x14ac:dyDescent="0.35">
      <c r="A133" s="29" t="s">
        <v>89</v>
      </c>
      <c r="B133" s="39" t="str">
        <f>E19</f>
        <v>Copeiragem (adicional de insalubridade)</v>
      </c>
      <c r="C133" s="126">
        <f>ROUND(F127,2)</f>
        <v>7024.13</v>
      </c>
      <c r="D133" s="126"/>
      <c r="E133" s="127">
        <v>1</v>
      </c>
      <c r="F133" s="127"/>
      <c r="G133" s="126">
        <f>(C133*E133)</f>
        <v>7024.13</v>
      </c>
      <c r="H133" s="126"/>
      <c r="I133" s="127">
        <v>3</v>
      </c>
      <c r="J133" s="127"/>
      <c r="K133" s="128">
        <f>G133*I133</f>
        <v>21072.39</v>
      </c>
      <c r="L133" s="129"/>
    </row>
    <row r="134" spans="1:22" x14ac:dyDescent="0.35">
      <c r="A134" s="29" t="s">
        <v>90</v>
      </c>
      <c r="B134" s="39" t="str">
        <f>G19</f>
        <v>Copeiragem (adicional de periculosidade)</v>
      </c>
      <c r="C134" s="126">
        <f>ROUND(H127,2)</f>
        <v>7492.9</v>
      </c>
      <c r="D134" s="126"/>
      <c r="E134" s="127">
        <v>1</v>
      </c>
      <c r="F134" s="127"/>
      <c r="G134" s="130">
        <f t="shared" ref="G134:G135" si="13">(C134*E134)</f>
        <v>7492.9</v>
      </c>
      <c r="H134" s="130"/>
      <c r="I134" s="127">
        <v>3</v>
      </c>
      <c r="J134" s="127"/>
      <c r="K134" s="126">
        <f t="shared" ref="K134:K135" si="14">G134*I134</f>
        <v>22478.699999999997</v>
      </c>
      <c r="L134" s="126"/>
    </row>
    <row r="135" spans="1:22" x14ac:dyDescent="0.35">
      <c r="A135" s="29" t="s">
        <v>91</v>
      </c>
      <c r="B135" s="39" t="str">
        <f>I19</f>
        <v>Carregador</v>
      </c>
      <c r="C135" s="126">
        <f>ROUND(J127,2)</f>
        <v>5232.2</v>
      </c>
      <c r="D135" s="126"/>
      <c r="E135" s="127">
        <v>1</v>
      </c>
      <c r="F135" s="127"/>
      <c r="G135" s="130">
        <f t="shared" si="13"/>
        <v>5232.2</v>
      </c>
      <c r="H135" s="130"/>
      <c r="I135" s="127">
        <v>13</v>
      </c>
      <c r="J135" s="127"/>
      <c r="K135" s="126">
        <f t="shared" si="14"/>
        <v>68018.599999999991</v>
      </c>
      <c r="L135" s="126"/>
    </row>
    <row r="136" spans="1:22" x14ac:dyDescent="0.35">
      <c r="A136" s="131" t="s">
        <v>93</v>
      </c>
      <c r="B136" s="131"/>
      <c r="C136" s="123"/>
      <c r="D136" s="123"/>
      <c r="E136" s="123"/>
      <c r="F136" s="123"/>
      <c r="G136" s="123"/>
      <c r="H136" s="123"/>
      <c r="I136" s="127">
        <f>SUM(I132:I135)</f>
        <v>63</v>
      </c>
      <c r="J136" s="127"/>
      <c r="K136" s="132">
        <f>SUM(K132:K135)</f>
        <v>392423.45</v>
      </c>
      <c r="L136" s="132"/>
      <c r="N136" s="55"/>
      <c r="O136" s="55"/>
      <c r="P136" s="55"/>
      <c r="Q136" s="55"/>
      <c r="R136" s="55"/>
      <c r="S136" s="55"/>
      <c r="T136" s="55"/>
      <c r="V136" s="55"/>
    </row>
    <row r="137" spans="1:22" x14ac:dyDescent="0.35">
      <c r="A137" s="131" t="s">
        <v>200</v>
      </c>
      <c r="B137" s="131"/>
      <c r="C137" s="123"/>
      <c r="D137" s="123"/>
      <c r="E137" s="123"/>
      <c r="F137" s="123"/>
      <c r="G137" s="123"/>
      <c r="H137" s="123"/>
      <c r="I137" s="123"/>
      <c r="J137" s="123"/>
      <c r="K137" s="132">
        <f>K136*12</f>
        <v>4709081.4000000004</v>
      </c>
      <c r="L137" s="132"/>
      <c r="N137" s="55"/>
      <c r="O137" s="55"/>
      <c r="P137" s="55"/>
      <c r="Q137" s="55"/>
      <c r="R137" s="55"/>
      <c r="S137" s="55"/>
      <c r="T137" s="55"/>
      <c r="V137" s="55"/>
    </row>
    <row r="138" spans="1:22" x14ac:dyDescent="0.35">
      <c r="A138" s="131" t="s">
        <v>201</v>
      </c>
      <c r="B138" s="131"/>
      <c r="C138" s="123"/>
      <c r="D138" s="123"/>
      <c r="E138" s="123"/>
      <c r="F138" s="123"/>
      <c r="G138" s="123"/>
      <c r="H138" s="123"/>
      <c r="I138" s="123"/>
      <c r="J138" s="123"/>
      <c r="K138" s="132">
        <f>K136*30</f>
        <v>11772703.5</v>
      </c>
      <c r="L138" s="132"/>
      <c r="N138" s="55"/>
      <c r="O138" s="55"/>
      <c r="P138" s="55"/>
      <c r="Q138" s="55"/>
      <c r="R138" s="55"/>
      <c r="S138" s="55"/>
      <c r="T138" s="55"/>
      <c r="V138" s="55"/>
    </row>
    <row r="139" spans="1:22" x14ac:dyDescent="0.35">
      <c r="N139" s="55"/>
      <c r="O139" s="55"/>
      <c r="P139" s="55"/>
      <c r="Q139" s="55"/>
      <c r="R139" s="55"/>
      <c r="S139" s="55"/>
      <c r="T139" s="55"/>
      <c r="V139" s="55"/>
    </row>
    <row r="140" spans="1:22" x14ac:dyDescent="0.35">
      <c r="N140" s="55"/>
      <c r="O140" s="55"/>
      <c r="P140" s="55"/>
      <c r="Q140" s="55"/>
      <c r="R140" s="55"/>
      <c r="S140" s="55"/>
      <c r="T140" s="55"/>
      <c r="V140" s="55"/>
    </row>
  </sheetData>
  <mergeCells count="164">
    <mergeCell ref="C16:D16"/>
    <mergeCell ref="E16:F16"/>
    <mergeCell ref="G16:H16"/>
    <mergeCell ref="I16:J16"/>
    <mergeCell ref="I8:J8"/>
    <mergeCell ref="E17:F17"/>
    <mergeCell ref="G17:H17"/>
    <mergeCell ref="G15:H15"/>
    <mergeCell ref="G14:H14"/>
    <mergeCell ref="G13:H13"/>
    <mergeCell ref="G10:H10"/>
    <mergeCell ref="G9:H9"/>
    <mergeCell ref="G8:H8"/>
    <mergeCell ref="I9:J9"/>
    <mergeCell ref="I10:J10"/>
    <mergeCell ref="I13:J13"/>
    <mergeCell ref="I14:J14"/>
    <mergeCell ref="I15:J15"/>
    <mergeCell ref="I17:J17"/>
    <mergeCell ref="E8:F8"/>
    <mergeCell ref="E9:F9"/>
    <mergeCell ref="E10:F10"/>
    <mergeCell ref="E13:F13"/>
    <mergeCell ref="E14:F14"/>
    <mergeCell ref="E15:F15"/>
    <mergeCell ref="C13:D13"/>
    <mergeCell ref="C3:D3"/>
    <mergeCell ref="C4:D4"/>
    <mergeCell ref="C5:D5"/>
    <mergeCell ref="C8:D8"/>
    <mergeCell ref="C9:D9"/>
    <mergeCell ref="C10:D10"/>
    <mergeCell ref="C14:D14"/>
    <mergeCell ref="C135:D135"/>
    <mergeCell ref="E135:F135"/>
    <mergeCell ref="G135:H135"/>
    <mergeCell ref="I135:J135"/>
    <mergeCell ref="K135:L135"/>
    <mergeCell ref="A138:B138"/>
    <mergeCell ref="C138:J138"/>
    <mergeCell ref="K138:L138"/>
    <mergeCell ref="A136:B136"/>
    <mergeCell ref="C136:H136"/>
    <mergeCell ref="I136:J136"/>
    <mergeCell ref="K136:L136"/>
    <mergeCell ref="A137:B137"/>
    <mergeCell ref="C137:J137"/>
    <mergeCell ref="K137:L137"/>
    <mergeCell ref="C133:D133"/>
    <mergeCell ref="E133:F133"/>
    <mergeCell ref="G133:H133"/>
    <mergeCell ref="I133:J133"/>
    <mergeCell ref="K133:L133"/>
    <mergeCell ref="C134:D134"/>
    <mergeCell ref="E134:F134"/>
    <mergeCell ref="G134:H134"/>
    <mergeCell ref="I134:J134"/>
    <mergeCell ref="K134:L134"/>
    <mergeCell ref="A130:L130"/>
    <mergeCell ref="A131:B131"/>
    <mergeCell ref="C131:D131"/>
    <mergeCell ref="E131:F131"/>
    <mergeCell ref="G131:H131"/>
    <mergeCell ref="I131:J131"/>
    <mergeCell ref="K131:L131"/>
    <mergeCell ref="C132:D132"/>
    <mergeCell ref="E132:F132"/>
    <mergeCell ref="G132:H132"/>
    <mergeCell ref="I132:J132"/>
    <mergeCell ref="K132:L132"/>
    <mergeCell ref="A116:B116"/>
    <mergeCell ref="A118:B118"/>
    <mergeCell ref="C118:D118"/>
    <mergeCell ref="E118:F118"/>
    <mergeCell ref="G118:H118"/>
    <mergeCell ref="I118:J118"/>
    <mergeCell ref="A119:B119"/>
    <mergeCell ref="A125:B125"/>
    <mergeCell ref="A127:B127"/>
    <mergeCell ref="A96:B96"/>
    <mergeCell ref="A99:B99"/>
    <mergeCell ref="C99:D99"/>
    <mergeCell ref="E99:F99"/>
    <mergeCell ref="G99:H99"/>
    <mergeCell ref="I99:J99"/>
    <mergeCell ref="A105:B105"/>
    <mergeCell ref="A108:B108"/>
    <mergeCell ref="C108:D108"/>
    <mergeCell ref="E108:F108"/>
    <mergeCell ref="G108:H108"/>
    <mergeCell ref="I108:J108"/>
    <mergeCell ref="A83:B83"/>
    <mergeCell ref="A86:B86"/>
    <mergeCell ref="C86:D86"/>
    <mergeCell ref="E86:F86"/>
    <mergeCell ref="G86:H86"/>
    <mergeCell ref="I86:J86"/>
    <mergeCell ref="A89:B89"/>
    <mergeCell ref="A92:B92"/>
    <mergeCell ref="C92:D92"/>
    <mergeCell ref="E92:F92"/>
    <mergeCell ref="G92:H92"/>
    <mergeCell ref="I92:J92"/>
    <mergeCell ref="A62:B62"/>
    <mergeCell ref="A65:B65"/>
    <mergeCell ref="C65:D65"/>
    <mergeCell ref="E65:F65"/>
    <mergeCell ref="G65:H65"/>
    <mergeCell ref="I65:J65"/>
    <mergeCell ref="A72:B72"/>
    <mergeCell ref="A75:B75"/>
    <mergeCell ref="C75:D75"/>
    <mergeCell ref="E75:F75"/>
    <mergeCell ref="G75:H75"/>
    <mergeCell ref="I75:J75"/>
    <mergeCell ref="A51:A52"/>
    <mergeCell ref="B51:B52"/>
    <mergeCell ref="A48:B48"/>
    <mergeCell ref="C48:D48"/>
    <mergeCell ref="E48:F48"/>
    <mergeCell ref="G48:H48"/>
    <mergeCell ref="I48:J48"/>
    <mergeCell ref="A54:B54"/>
    <mergeCell ref="A57:B57"/>
    <mergeCell ref="C57:D57"/>
    <mergeCell ref="E57:F57"/>
    <mergeCell ref="G57:H57"/>
    <mergeCell ref="I57:J57"/>
    <mergeCell ref="A45:B45"/>
    <mergeCell ref="A35:B35"/>
    <mergeCell ref="C35:D35"/>
    <mergeCell ref="E35:F35"/>
    <mergeCell ref="G35:H35"/>
    <mergeCell ref="I35:J35"/>
    <mergeCell ref="A32:B32"/>
    <mergeCell ref="A28:B28"/>
    <mergeCell ref="C28:D28"/>
    <mergeCell ref="E28:F28"/>
    <mergeCell ref="G28:H28"/>
    <mergeCell ref="I28:J28"/>
    <mergeCell ref="A1:J1"/>
    <mergeCell ref="A7:J7"/>
    <mergeCell ref="A12:J12"/>
    <mergeCell ref="A25:B25"/>
    <mergeCell ref="A19:B19"/>
    <mergeCell ref="C19:D19"/>
    <mergeCell ref="E19:F19"/>
    <mergeCell ref="G19:H19"/>
    <mergeCell ref="I19:J19"/>
    <mergeCell ref="C2:D2"/>
    <mergeCell ref="E2:F2"/>
    <mergeCell ref="G4:H4"/>
    <mergeCell ref="G3:H3"/>
    <mergeCell ref="G2:H2"/>
    <mergeCell ref="I2:J2"/>
    <mergeCell ref="I3:J3"/>
    <mergeCell ref="I4:J4"/>
    <mergeCell ref="I5:J5"/>
    <mergeCell ref="G5:H5"/>
    <mergeCell ref="C15:D15"/>
    <mergeCell ref="C17:D17"/>
    <mergeCell ref="E3:F3"/>
    <mergeCell ref="E4:F4"/>
    <mergeCell ref="E5:F5"/>
  </mergeCells>
  <phoneticPr fontId="8" type="noConversion"/>
  <pageMargins left="0.51180555555555496" right="0.51180555555555496" top="0.78749999999999998" bottom="0.78749999999999998" header="0.51180555555555496" footer="0.51180555555555496"/>
  <pageSetup paperSize="9" scale="16" firstPageNumber="0" orientation="portrait" horizontalDpi="300" verticalDpi="300" r:id="rId1"/>
  <ignoredErrors>
    <ignoredError sqref="A133 A132:H132 A134 A135 U141:V145 J135:L135 J133:L133 J134:L134 J132:L132 A136:L139 A30:J34 A103:J110 A101 E101 G101 I101 U132:V136 C101 A102:C102 E102 G102 I102:J102 A36:J51 A35:J35 U130:V131 D135:H135 C133:H133 D134:H134 A131:L131 A118:D118 F118:J118 A53:J100 A52:B52 J52 D52 F52 H52 A119:J129 B130:L130 A112:J117 A111:B111 D111 F111 H111 J111"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0A5327-4273-4505-BE61-2B6AAB061E21}">
  <sheetPr>
    <pageSetUpPr fitToPage="1"/>
  </sheetPr>
  <dimension ref="A1:V138"/>
  <sheetViews>
    <sheetView showGridLines="0" topLeftCell="C107" zoomScaleNormal="100" workbookViewId="0">
      <selection activeCell="K110" sqref="K110"/>
    </sheetView>
  </sheetViews>
  <sheetFormatPr defaultRowHeight="14.5" x14ac:dyDescent="0.35"/>
  <cols>
    <col min="1" max="1" width="12.26953125" customWidth="1"/>
    <col min="2" max="2" width="54.81640625" customWidth="1"/>
    <col min="3" max="3" width="13.7265625" customWidth="1"/>
    <col min="4" max="4" width="17.7265625" customWidth="1"/>
    <col min="5" max="5" width="13.7265625" customWidth="1"/>
    <col min="6" max="6" width="17.7265625" customWidth="1"/>
    <col min="7" max="7" width="13.7265625" customWidth="1"/>
    <col min="8" max="8" width="17.7265625" customWidth="1"/>
    <col min="9" max="9" width="13.7265625" customWidth="1"/>
    <col min="10" max="10" width="17.7265625" customWidth="1"/>
    <col min="11" max="11" width="13.7265625" customWidth="1"/>
    <col min="12" max="12" width="17.7265625" customWidth="1"/>
    <col min="13" max="13" width="13.7265625" customWidth="1"/>
    <col min="14" max="20" width="17.7265625" customWidth="1"/>
    <col min="21" max="21" width="13.7265625" customWidth="1"/>
    <col min="22" max="22" width="17.7265625" customWidth="1"/>
    <col min="23" max="23" width="13.7265625" customWidth="1"/>
    <col min="24" max="24" width="17.7265625" customWidth="1"/>
    <col min="25" max="25" width="13.7265625" customWidth="1"/>
    <col min="26" max="26" width="17.7265625" customWidth="1"/>
    <col min="27" max="27" width="13.7265625" customWidth="1"/>
    <col min="28" max="28" width="17.7265625" customWidth="1"/>
    <col min="29" max="33" width="8.7265625" customWidth="1"/>
    <col min="35" max="1029" width="8.7265625" customWidth="1"/>
  </cols>
  <sheetData>
    <row r="1" spans="1:10" x14ac:dyDescent="0.35">
      <c r="A1" s="113" t="s">
        <v>218</v>
      </c>
      <c r="B1" s="114"/>
      <c r="C1" s="114"/>
      <c r="D1" s="114"/>
      <c r="E1" s="114"/>
      <c r="F1" s="114"/>
      <c r="G1" s="114"/>
      <c r="H1" s="114"/>
      <c r="I1" s="114"/>
      <c r="J1" s="115"/>
    </row>
    <row r="2" spans="1:10" x14ac:dyDescent="0.35">
      <c r="A2" s="29" t="s">
        <v>0</v>
      </c>
      <c r="B2" s="27" t="s">
        <v>219</v>
      </c>
      <c r="C2" s="118" t="s">
        <v>233</v>
      </c>
      <c r="D2" s="119" t="s">
        <v>232</v>
      </c>
      <c r="E2" s="118" t="s">
        <v>233</v>
      </c>
      <c r="F2" s="119" t="s">
        <v>235</v>
      </c>
      <c r="G2" s="118" t="s">
        <v>233</v>
      </c>
      <c r="H2" s="119" t="s">
        <v>232</v>
      </c>
      <c r="I2" s="118" t="s">
        <v>233</v>
      </c>
      <c r="J2" s="119" t="s">
        <v>235</v>
      </c>
    </row>
    <row r="3" spans="1:10" x14ac:dyDescent="0.35">
      <c r="A3" s="29" t="s">
        <v>1</v>
      </c>
      <c r="B3" s="27" t="s">
        <v>220</v>
      </c>
      <c r="C3" s="97" t="s">
        <v>234</v>
      </c>
      <c r="D3" s="99" t="s">
        <v>234</v>
      </c>
      <c r="E3" s="97" t="s">
        <v>234</v>
      </c>
      <c r="F3" s="99" t="s">
        <v>234</v>
      </c>
      <c r="G3" s="97" t="s">
        <v>234</v>
      </c>
      <c r="H3" s="99" t="s">
        <v>234</v>
      </c>
      <c r="I3" s="97" t="s">
        <v>234</v>
      </c>
      <c r="J3" s="99" t="s">
        <v>234</v>
      </c>
    </row>
    <row r="4" spans="1:10" x14ac:dyDescent="0.35">
      <c r="A4" s="29" t="s">
        <v>2</v>
      </c>
      <c r="B4" s="27" t="s">
        <v>221</v>
      </c>
      <c r="C4" s="118">
        <v>2024</v>
      </c>
      <c r="D4" s="119"/>
      <c r="E4" s="118">
        <v>2024</v>
      </c>
      <c r="F4" s="119"/>
      <c r="G4" s="118">
        <v>2024</v>
      </c>
      <c r="H4" s="119"/>
      <c r="I4" s="118">
        <v>2024</v>
      </c>
      <c r="J4" s="119"/>
    </row>
    <row r="5" spans="1:10" x14ac:dyDescent="0.35">
      <c r="A5" s="29" t="s">
        <v>3</v>
      </c>
      <c r="B5" s="27" t="s">
        <v>222</v>
      </c>
      <c r="C5" s="118">
        <v>12</v>
      </c>
      <c r="D5" s="119"/>
      <c r="E5" s="118">
        <v>12</v>
      </c>
      <c r="F5" s="119"/>
      <c r="G5" s="118">
        <v>12</v>
      </c>
      <c r="H5" s="119"/>
      <c r="I5" s="118">
        <v>12</v>
      </c>
      <c r="J5" s="119"/>
    </row>
    <row r="7" spans="1:10" ht="14.5" customHeight="1" x14ac:dyDescent="0.35">
      <c r="A7" s="113" t="s">
        <v>223</v>
      </c>
      <c r="B7" s="114"/>
      <c r="C7" s="114"/>
      <c r="D7" s="114"/>
      <c r="E7" s="114"/>
      <c r="F7" s="114"/>
      <c r="G7" s="114"/>
      <c r="H7" s="114"/>
      <c r="I7" s="114"/>
      <c r="J7" s="115"/>
    </row>
    <row r="8" spans="1:10" x14ac:dyDescent="0.35">
      <c r="A8" s="29">
        <v>1</v>
      </c>
      <c r="B8" s="36" t="s">
        <v>224</v>
      </c>
      <c r="C8" s="97" t="s">
        <v>214</v>
      </c>
      <c r="D8" s="99"/>
      <c r="E8" s="97" t="s">
        <v>214</v>
      </c>
      <c r="F8" s="99"/>
      <c r="G8" s="97" t="s">
        <v>214</v>
      </c>
      <c r="H8" s="99"/>
      <c r="I8" s="97" t="s">
        <v>191</v>
      </c>
      <c r="J8" s="99"/>
    </row>
    <row r="9" spans="1:10" x14ac:dyDescent="0.35">
      <c r="A9" s="29" t="s">
        <v>0</v>
      </c>
      <c r="B9" s="27" t="s">
        <v>225</v>
      </c>
      <c r="C9" s="118" t="s">
        <v>236</v>
      </c>
      <c r="D9" s="119"/>
      <c r="E9" s="118" t="s">
        <v>236</v>
      </c>
      <c r="F9" s="119"/>
      <c r="G9" s="118" t="s">
        <v>236</v>
      </c>
      <c r="H9" s="119"/>
      <c r="I9" s="118" t="s">
        <v>236</v>
      </c>
      <c r="J9" s="119"/>
    </row>
    <row r="10" spans="1:10" x14ac:dyDescent="0.35">
      <c r="A10" s="29" t="s">
        <v>1</v>
      </c>
      <c r="B10" s="27" t="s">
        <v>226</v>
      </c>
      <c r="C10" s="118">
        <v>1</v>
      </c>
      <c r="D10" s="119"/>
      <c r="E10" s="118">
        <v>1</v>
      </c>
      <c r="F10" s="119"/>
      <c r="G10" s="118">
        <v>1</v>
      </c>
      <c r="H10" s="119"/>
      <c r="I10" s="118">
        <v>1</v>
      </c>
      <c r="J10" s="119"/>
    </row>
    <row r="11" spans="1:10" x14ac:dyDescent="0.35">
      <c r="A11" s="14"/>
      <c r="C11" s="61"/>
      <c r="D11" s="62"/>
      <c r="E11" s="61"/>
      <c r="F11" s="62"/>
      <c r="G11" s="61"/>
      <c r="I11" s="61"/>
      <c r="J11" s="62"/>
    </row>
    <row r="12" spans="1:10" ht="14.5" customHeight="1" x14ac:dyDescent="0.35">
      <c r="A12" s="113" t="s">
        <v>231</v>
      </c>
      <c r="B12" s="114"/>
      <c r="C12" s="114"/>
      <c r="D12" s="114"/>
      <c r="E12" s="114"/>
      <c r="F12" s="114"/>
      <c r="G12" s="114"/>
      <c r="H12" s="114"/>
      <c r="I12" s="114"/>
      <c r="J12" s="114"/>
    </row>
    <row r="13" spans="1:10" x14ac:dyDescent="0.35">
      <c r="A13" s="29">
        <v>1</v>
      </c>
      <c r="B13" s="27" t="s">
        <v>227</v>
      </c>
      <c r="C13" s="135" t="s">
        <v>214</v>
      </c>
      <c r="D13" s="136"/>
      <c r="E13" s="135" t="s">
        <v>214</v>
      </c>
      <c r="F13" s="136"/>
      <c r="G13" s="135" t="s">
        <v>214</v>
      </c>
      <c r="H13" s="136"/>
      <c r="I13" s="135" t="s">
        <v>191</v>
      </c>
      <c r="J13" s="136"/>
    </row>
    <row r="14" spans="1:10" x14ac:dyDescent="0.35">
      <c r="A14" s="29">
        <v>2</v>
      </c>
      <c r="B14" s="27" t="s">
        <v>228</v>
      </c>
      <c r="C14" s="118" t="s">
        <v>239</v>
      </c>
      <c r="D14" s="119"/>
      <c r="E14" s="118" t="s">
        <v>239</v>
      </c>
      <c r="F14" s="119"/>
      <c r="G14" s="118" t="s">
        <v>239</v>
      </c>
      <c r="H14" s="119"/>
      <c r="I14" s="118" t="s">
        <v>241</v>
      </c>
      <c r="J14" s="119"/>
    </row>
    <row r="15" spans="1:10" x14ac:dyDescent="0.35">
      <c r="A15" s="29">
        <v>3</v>
      </c>
      <c r="B15" s="27" t="s">
        <v>229</v>
      </c>
      <c r="C15" s="120">
        <v>1629.62</v>
      </c>
      <c r="D15" s="121"/>
      <c r="E15" s="133">
        <f>C15</f>
        <v>1629.62</v>
      </c>
      <c r="F15" s="134"/>
      <c r="G15" s="120">
        <f>C15</f>
        <v>1629.62</v>
      </c>
      <c r="H15" s="136"/>
      <c r="I15" s="120">
        <f>E15</f>
        <v>1629.62</v>
      </c>
      <c r="J15" s="136"/>
    </row>
    <row r="16" spans="1:10" x14ac:dyDescent="0.35">
      <c r="A16" s="29">
        <v>4</v>
      </c>
      <c r="B16" s="27" t="s">
        <v>230</v>
      </c>
      <c r="C16" s="118" t="s">
        <v>237</v>
      </c>
      <c r="D16" s="119"/>
      <c r="E16" s="118" t="s">
        <v>237</v>
      </c>
      <c r="F16" s="119"/>
      <c r="G16" s="118" t="s">
        <v>237</v>
      </c>
      <c r="H16" s="119"/>
      <c r="I16" s="118" t="s">
        <v>237</v>
      </c>
      <c r="J16" s="119"/>
    </row>
    <row r="17" spans="1:11" x14ac:dyDescent="0.35">
      <c r="A17" s="29">
        <v>5</v>
      </c>
      <c r="B17" s="27" t="s">
        <v>238</v>
      </c>
      <c r="C17" s="122">
        <v>45301</v>
      </c>
      <c r="D17" s="119"/>
      <c r="E17" s="122">
        <v>45301</v>
      </c>
      <c r="F17" s="119"/>
      <c r="G17" s="122">
        <v>45301</v>
      </c>
      <c r="H17" s="119"/>
      <c r="I17" s="122">
        <v>45301</v>
      </c>
      <c r="J17" s="119"/>
    </row>
    <row r="19" spans="1:11" ht="40" customHeight="1" x14ac:dyDescent="0.35">
      <c r="A19" s="117" t="s">
        <v>4</v>
      </c>
      <c r="B19" s="117"/>
      <c r="C19" s="96" t="s">
        <v>214</v>
      </c>
      <c r="D19" s="96"/>
      <c r="E19" s="96" t="s">
        <v>215</v>
      </c>
      <c r="F19" s="96"/>
      <c r="G19" s="96" t="s">
        <v>216</v>
      </c>
      <c r="H19" s="96"/>
      <c r="I19" s="96" t="s">
        <v>217</v>
      </c>
      <c r="J19" s="96"/>
    </row>
    <row r="20" spans="1:11" x14ac:dyDescent="0.35">
      <c r="A20" s="29">
        <v>1</v>
      </c>
      <c r="B20" s="29" t="s">
        <v>5</v>
      </c>
      <c r="C20" s="29"/>
      <c r="D20" s="29" t="s">
        <v>6</v>
      </c>
      <c r="E20" s="29"/>
      <c r="F20" s="29" t="s">
        <v>6</v>
      </c>
      <c r="G20" s="29"/>
      <c r="H20" s="29" t="s">
        <v>6</v>
      </c>
      <c r="I20" s="29"/>
      <c r="J20" s="29" t="s">
        <v>6</v>
      </c>
    </row>
    <row r="21" spans="1:11" x14ac:dyDescent="0.35">
      <c r="A21" s="29" t="s">
        <v>0</v>
      </c>
      <c r="B21" s="27" t="s">
        <v>7</v>
      </c>
      <c r="C21" s="2"/>
      <c r="D21" s="3">
        <f>C15</f>
        <v>1629.62</v>
      </c>
      <c r="E21" s="2"/>
      <c r="F21" s="3">
        <f>E15</f>
        <v>1629.62</v>
      </c>
      <c r="G21" s="2"/>
      <c r="H21" s="3">
        <f>G15</f>
        <v>1629.62</v>
      </c>
      <c r="I21" s="2"/>
      <c r="J21" s="3">
        <f>I15</f>
        <v>1629.62</v>
      </c>
      <c r="K21" t="s">
        <v>137</v>
      </c>
    </row>
    <row r="22" spans="1:11" x14ac:dyDescent="0.35">
      <c r="A22" s="29" t="s">
        <v>1</v>
      </c>
      <c r="B22" s="27" t="s">
        <v>96</v>
      </c>
      <c r="C22" s="2"/>
      <c r="D22" s="3"/>
      <c r="E22" s="2"/>
      <c r="F22" s="3"/>
      <c r="G22" s="2"/>
      <c r="I22" s="2"/>
      <c r="J22" s="3"/>
      <c r="K22" t="s">
        <v>198</v>
      </c>
    </row>
    <row r="23" spans="1:11" x14ac:dyDescent="0.35">
      <c r="A23" s="29" t="s">
        <v>2</v>
      </c>
      <c r="B23" s="27" t="s">
        <v>212</v>
      </c>
      <c r="C23" s="2"/>
      <c r="D23" s="3"/>
      <c r="E23" s="2"/>
      <c r="F23" s="3">
        <f>1412*20%</f>
        <v>282.40000000000003</v>
      </c>
      <c r="G23" s="2"/>
      <c r="H23" s="3"/>
      <c r="I23" s="2"/>
      <c r="J23" s="3"/>
      <c r="K23" t="s">
        <v>210</v>
      </c>
    </row>
    <row r="24" spans="1:11" x14ac:dyDescent="0.35">
      <c r="A24" s="29" t="s">
        <v>3</v>
      </c>
      <c r="B24" s="27" t="s">
        <v>213</v>
      </c>
      <c r="C24" s="2"/>
      <c r="D24" s="3"/>
      <c r="E24" s="2"/>
      <c r="F24" s="3"/>
      <c r="G24" s="2"/>
      <c r="H24" s="3">
        <f>H21*30%</f>
        <v>488.88599999999997</v>
      </c>
      <c r="I24" s="2"/>
      <c r="J24" s="3">
        <f>J21*30%</f>
        <v>488.88599999999997</v>
      </c>
      <c r="K24" t="s">
        <v>211</v>
      </c>
    </row>
    <row r="25" spans="1:11" x14ac:dyDescent="0.35">
      <c r="A25" s="116" t="s">
        <v>9</v>
      </c>
      <c r="B25" s="116"/>
      <c r="C25" s="27"/>
      <c r="D25" s="4">
        <f>SUM(D21:D24)</f>
        <v>1629.62</v>
      </c>
      <c r="E25" s="27"/>
      <c r="F25" s="4">
        <f>SUM(F21:F24)</f>
        <v>1912.02</v>
      </c>
      <c r="G25" s="27"/>
      <c r="H25" s="4">
        <f>SUM(H21:H24)</f>
        <v>2118.5059999999999</v>
      </c>
      <c r="I25" s="27"/>
      <c r="J25" s="4">
        <f>SUM(J21:J24)</f>
        <v>2118.5059999999999</v>
      </c>
    </row>
    <row r="27" spans="1:11" ht="15" customHeight="1" x14ac:dyDescent="0.35"/>
    <row r="28" spans="1:11" ht="40" customHeight="1" x14ac:dyDescent="0.35">
      <c r="A28" s="117" t="s">
        <v>10</v>
      </c>
      <c r="B28" s="117"/>
      <c r="C28" s="96" t="str">
        <f>$C$19</f>
        <v>Copeiragem</v>
      </c>
      <c r="D28" s="96"/>
      <c r="E28" s="96" t="str">
        <f>$E$19</f>
        <v>Copeiragem (adicional de insalubridade)</v>
      </c>
      <c r="F28" s="96"/>
      <c r="G28" s="96" t="str">
        <f>$G$19</f>
        <v>Copeiragem (adicional de periculosidade)</v>
      </c>
      <c r="H28" s="96"/>
      <c r="I28" s="96" t="str">
        <f>$I$19</f>
        <v>Carregador (adicional de periculosidade)</v>
      </c>
      <c r="J28" s="96"/>
    </row>
    <row r="29" spans="1:11" x14ac:dyDescent="0.35">
      <c r="A29" s="29" t="s">
        <v>11</v>
      </c>
      <c r="B29" s="29" t="s">
        <v>12</v>
      </c>
      <c r="C29" s="29" t="s">
        <v>13</v>
      </c>
      <c r="D29" s="29" t="s">
        <v>6</v>
      </c>
      <c r="E29" s="29" t="s">
        <v>13</v>
      </c>
      <c r="F29" s="29" t="s">
        <v>6</v>
      </c>
      <c r="G29" s="29" t="s">
        <v>13</v>
      </c>
      <c r="H29" s="29" t="s">
        <v>6</v>
      </c>
      <c r="I29" s="29" t="s">
        <v>13</v>
      </c>
      <c r="J29" s="29" t="s">
        <v>6</v>
      </c>
      <c r="K29" t="s">
        <v>138</v>
      </c>
    </row>
    <row r="30" spans="1:11" x14ac:dyDescent="0.35">
      <c r="A30" s="29" t="s">
        <v>0</v>
      </c>
      <c r="B30" s="27" t="s">
        <v>14</v>
      </c>
      <c r="C30" s="5">
        <f>1/12</f>
        <v>8.3333333333333329E-2</v>
      </c>
      <c r="D30" s="3">
        <f>ROUND(C30*D25,2)</f>
        <v>135.80000000000001</v>
      </c>
      <c r="E30" s="5">
        <f>1/12</f>
        <v>8.3333333333333329E-2</v>
      </c>
      <c r="F30" s="3">
        <f>ROUND(E30*F25,2)</f>
        <v>159.34</v>
      </c>
      <c r="G30" s="5">
        <f>1/12</f>
        <v>8.3333333333333329E-2</v>
      </c>
      <c r="H30" s="3">
        <f>ROUND(G30*H25,2)</f>
        <v>176.54</v>
      </c>
      <c r="I30" s="5">
        <f>1/12</f>
        <v>8.3333333333333329E-2</v>
      </c>
      <c r="J30" s="3">
        <f>ROUND(I30*J25,2)</f>
        <v>176.54</v>
      </c>
      <c r="K30" t="s">
        <v>139</v>
      </c>
    </row>
    <row r="31" spans="1:11" x14ac:dyDescent="0.35">
      <c r="A31" s="29" t="s">
        <v>1</v>
      </c>
      <c r="B31" s="27" t="s">
        <v>197</v>
      </c>
      <c r="C31" s="5">
        <f>(1/12)+(1/3/12)</f>
        <v>0.1111111111111111</v>
      </c>
      <c r="D31" s="3">
        <f>ROUND(C31*D25,2)</f>
        <v>181.07</v>
      </c>
      <c r="E31" s="5">
        <f>(1/12)+(1/3/12)</f>
        <v>0.1111111111111111</v>
      </c>
      <c r="F31" s="3">
        <f>ROUND(E31*F25,2)</f>
        <v>212.45</v>
      </c>
      <c r="G31" s="5">
        <f>(1/12)+(1/3/12)</f>
        <v>0.1111111111111111</v>
      </c>
      <c r="H31" s="3">
        <f>ROUND(G31*H25,2)</f>
        <v>235.39</v>
      </c>
      <c r="I31" s="5">
        <f>(1/12)+(1/3/12)</f>
        <v>0.1111111111111111</v>
      </c>
      <c r="J31" s="3">
        <f>ROUND(I31*J25,2)</f>
        <v>235.39</v>
      </c>
    </row>
    <row r="32" spans="1:11" x14ac:dyDescent="0.35">
      <c r="A32" s="116" t="s">
        <v>9</v>
      </c>
      <c r="B32" s="116"/>
      <c r="C32" s="30">
        <f t="shared" ref="C32:J32" si="0">SUM(C30:C31)</f>
        <v>0.19444444444444442</v>
      </c>
      <c r="D32" s="4">
        <f t="shared" si="0"/>
        <v>316.87</v>
      </c>
      <c r="E32" s="30">
        <f t="shared" ref="E32:F32" si="1">SUM(E30:E31)</f>
        <v>0.19444444444444442</v>
      </c>
      <c r="F32" s="4">
        <f t="shared" si="1"/>
        <v>371.78999999999996</v>
      </c>
      <c r="G32" s="30">
        <f t="shared" si="0"/>
        <v>0.19444444444444442</v>
      </c>
      <c r="H32" s="4">
        <f t="shared" si="0"/>
        <v>411.92999999999995</v>
      </c>
      <c r="I32" s="30">
        <f t="shared" si="0"/>
        <v>0.19444444444444442</v>
      </c>
      <c r="J32" s="4">
        <f t="shared" si="0"/>
        <v>411.92999999999995</v>
      </c>
    </row>
    <row r="34" spans="1:11" ht="15" customHeight="1" x14ac:dyDescent="0.35"/>
    <row r="35" spans="1:11" ht="40" customHeight="1" x14ac:dyDescent="0.35">
      <c r="A35" s="96" t="s">
        <v>15</v>
      </c>
      <c r="B35" s="96"/>
      <c r="C35" s="96" t="str">
        <f>$C$19</f>
        <v>Copeiragem</v>
      </c>
      <c r="D35" s="96"/>
      <c r="E35" s="96" t="str">
        <f>$E$19</f>
        <v>Copeiragem (adicional de insalubridade)</v>
      </c>
      <c r="F35" s="96"/>
      <c r="G35" s="96" t="str">
        <f>$G$19</f>
        <v>Copeiragem (adicional de periculosidade)</v>
      </c>
      <c r="H35" s="96"/>
      <c r="I35" s="96" t="str">
        <f>$I$19</f>
        <v>Carregador (adicional de periculosidade)</v>
      </c>
      <c r="J35" s="96"/>
    </row>
    <row r="36" spans="1:11" x14ac:dyDescent="0.35">
      <c r="A36" s="29" t="s">
        <v>16</v>
      </c>
      <c r="B36" s="29" t="s">
        <v>17</v>
      </c>
      <c r="C36" s="29" t="s">
        <v>13</v>
      </c>
      <c r="D36" s="29" t="s">
        <v>6</v>
      </c>
      <c r="E36" s="29" t="s">
        <v>13</v>
      </c>
      <c r="F36" s="29" t="s">
        <v>6</v>
      </c>
      <c r="G36" s="29" t="s">
        <v>13</v>
      </c>
      <c r="H36" s="29" t="s">
        <v>6</v>
      </c>
      <c r="I36" s="29" t="s">
        <v>13</v>
      </c>
      <c r="J36" s="29" t="s">
        <v>6</v>
      </c>
      <c r="K36" t="s">
        <v>140</v>
      </c>
    </row>
    <row r="37" spans="1:11" x14ac:dyDescent="0.35">
      <c r="A37" s="29" t="s">
        <v>0</v>
      </c>
      <c r="B37" s="27" t="s">
        <v>18</v>
      </c>
      <c r="C37" s="6">
        <v>0.2</v>
      </c>
      <c r="D37" s="3">
        <f t="shared" ref="D37:D44" si="2">(C37*($D$32+$D$25))</f>
        <v>389.298</v>
      </c>
      <c r="E37" s="6">
        <v>0.2</v>
      </c>
      <c r="F37" s="3">
        <f>(E37*($F$32+$F$25))</f>
        <v>456.762</v>
      </c>
      <c r="G37" s="6">
        <v>0.2</v>
      </c>
      <c r="H37" s="3">
        <f t="shared" ref="H37:H44" si="3">G37*($H$32+$H$25)</f>
        <v>506.08719999999994</v>
      </c>
      <c r="I37" s="6">
        <v>0.2</v>
      </c>
      <c r="J37" s="3">
        <f t="shared" ref="J37:J44" si="4">I37*($J$32+$J$25)</f>
        <v>506.08719999999994</v>
      </c>
      <c r="K37" t="s">
        <v>141</v>
      </c>
    </row>
    <row r="38" spans="1:11" x14ac:dyDescent="0.35">
      <c r="A38" s="29" t="s">
        <v>1</v>
      </c>
      <c r="B38" s="27" t="s">
        <v>19</v>
      </c>
      <c r="C38" s="6">
        <v>2.5000000000000001E-2</v>
      </c>
      <c r="D38" s="3">
        <f t="shared" si="2"/>
        <v>48.66225</v>
      </c>
      <c r="E38" s="6">
        <v>2.5000000000000001E-2</v>
      </c>
      <c r="F38" s="3">
        <f t="shared" ref="F38:F44" si="5">(E38*($F$32+$F$25))</f>
        <v>57.09525</v>
      </c>
      <c r="G38" s="6">
        <v>2.5000000000000001E-2</v>
      </c>
      <c r="H38" s="3">
        <f t="shared" si="3"/>
        <v>63.260899999999992</v>
      </c>
      <c r="I38" s="6">
        <v>2.5000000000000001E-2</v>
      </c>
      <c r="J38" s="3">
        <f t="shared" si="4"/>
        <v>63.260899999999992</v>
      </c>
      <c r="K38" t="s">
        <v>142</v>
      </c>
    </row>
    <row r="39" spans="1:11" x14ac:dyDescent="0.35">
      <c r="A39" s="29" t="s">
        <v>2</v>
      </c>
      <c r="B39" s="27" t="s">
        <v>20</v>
      </c>
      <c r="C39" s="6">
        <v>0.03</v>
      </c>
      <c r="D39" s="3">
        <f t="shared" si="2"/>
        <v>58.394699999999993</v>
      </c>
      <c r="E39" s="6">
        <v>0.03</v>
      </c>
      <c r="F39" s="3">
        <f t="shared" si="5"/>
        <v>68.514299999999992</v>
      </c>
      <c r="G39" s="6">
        <v>0.03</v>
      </c>
      <c r="H39" s="3">
        <f t="shared" si="3"/>
        <v>75.913079999999994</v>
      </c>
      <c r="I39" s="6">
        <v>0.03</v>
      </c>
      <c r="J39" s="3">
        <f t="shared" si="4"/>
        <v>75.913079999999994</v>
      </c>
      <c r="K39" t="s">
        <v>143</v>
      </c>
    </row>
    <row r="40" spans="1:11" x14ac:dyDescent="0.35">
      <c r="A40" s="29" t="s">
        <v>3</v>
      </c>
      <c r="B40" s="27" t="s">
        <v>21</v>
      </c>
      <c r="C40" s="6">
        <v>1.4999999999999999E-2</v>
      </c>
      <c r="D40" s="3">
        <f t="shared" si="2"/>
        <v>29.197349999999997</v>
      </c>
      <c r="E40" s="6">
        <v>1.4999999999999999E-2</v>
      </c>
      <c r="F40" s="3">
        <f t="shared" si="5"/>
        <v>34.257149999999996</v>
      </c>
      <c r="G40" s="6">
        <v>1.4999999999999999E-2</v>
      </c>
      <c r="H40" s="3">
        <f t="shared" si="3"/>
        <v>37.956539999999997</v>
      </c>
      <c r="I40" s="6">
        <v>1.4999999999999999E-2</v>
      </c>
      <c r="J40" s="3">
        <f t="shared" si="4"/>
        <v>37.956539999999997</v>
      </c>
      <c r="K40" t="s">
        <v>144</v>
      </c>
    </row>
    <row r="41" spans="1:11" x14ac:dyDescent="0.35">
      <c r="A41" s="29" t="s">
        <v>22</v>
      </c>
      <c r="B41" s="27" t="s">
        <v>23</v>
      </c>
      <c r="C41" s="6">
        <v>0.01</v>
      </c>
      <c r="D41" s="3">
        <f t="shared" si="2"/>
        <v>19.464899999999997</v>
      </c>
      <c r="E41" s="6">
        <v>0.01</v>
      </c>
      <c r="F41" s="3">
        <f t="shared" si="5"/>
        <v>22.838100000000001</v>
      </c>
      <c r="G41" s="6">
        <v>0.01</v>
      </c>
      <c r="H41" s="3">
        <f t="shared" si="3"/>
        <v>25.304359999999999</v>
      </c>
      <c r="I41" s="6">
        <v>0.01</v>
      </c>
      <c r="J41" s="3">
        <f t="shared" si="4"/>
        <v>25.304359999999999</v>
      </c>
      <c r="K41" t="s">
        <v>145</v>
      </c>
    </row>
    <row r="42" spans="1:11" x14ac:dyDescent="0.35">
      <c r="A42" s="29" t="s">
        <v>24</v>
      </c>
      <c r="B42" s="27" t="s">
        <v>25</v>
      </c>
      <c r="C42" s="6">
        <v>6.0000000000000001E-3</v>
      </c>
      <c r="D42" s="3">
        <f t="shared" si="2"/>
        <v>11.678939999999999</v>
      </c>
      <c r="E42" s="6">
        <v>6.0000000000000001E-3</v>
      </c>
      <c r="F42" s="3">
        <f t="shared" si="5"/>
        <v>13.702859999999999</v>
      </c>
      <c r="G42" s="6">
        <v>6.0000000000000001E-3</v>
      </c>
      <c r="H42" s="3">
        <f t="shared" si="3"/>
        <v>15.182615999999998</v>
      </c>
      <c r="I42" s="6">
        <v>6.0000000000000001E-3</v>
      </c>
      <c r="J42" s="3">
        <f t="shared" si="4"/>
        <v>15.182615999999998</v>
      </c>
      <c r="K42" t="s">
        <v>146</v>
      </c>
    </row>
    <row r="43" spans="1:11" x14ac:dyDescent="0.35">
      <c r="A43" s="29" t="s">
        <v>26</v>
      </c>
      <c r="B43" s="27" t="s">
        <v>27</v>
      </c>
      <c r="C43" s="6">
        <v>2E-3</v>
      </c>
      <c r="D43" s="3">
        <f t="shared" si="2"/>
        <v>3.8929799999999997</v>
      </c>
      <c r="E43" s="6">
        <v>2E-3</v>
      </c>
      <c r="F43" s="3">
        <f t="shared" si="5"/>
        <v>4.5676199999999998</v>
      </c>
      <c r="G43" s="6">
        <v>2E-3</v>
      </c>
      <c r="H43" s="3">
        <f t="shared" si="3"/>
        <v>5.0608719999999998</v>
      </c>
      <c r="I43" s="6">
        <v>2E-3</v>
      </c>
      <c r="J43" s="3">
        <f t="shared" si="4"/>
        <v>5.0608719999999998</v>
      </c>
      <c r="K43" t="s">
        <v>147</v>
      </c>
    </row>
    <row r="44" spans="1:11" x14ac:dyDescent="0.35">
      <c r="A44" s="29" t="s">
        <v>28</v>
      </c>
      <c r="B44" s="27" t="s">
        <v>29</v>
      </c>
      <c r="C44" s="6">
        <v>0.08</v>
      </c>
      <c r="D44" s="3">
        <f t="shared" si="2"/>
        <v>155.71919999999997</v>
      </c>
      <c r="E44" s="6">
        <v>0.08</v>
      </c>
      <c r="F44" s="3">
        <f t="shared" si="5"/>
        <v>182.70480000000001</v>
      </c>
      <c r="G44" s="6">
        <v>0.08</v>
      </c>
      <c r="H44" s="3">
        <f t="shared" si="3"/>
        <v>202.43487999999999</v>
      </c>
      <c r="I44" s="6">
        <v>0.08</v>
      </c>
      <c r="J44" s="3">
        <f t="shared" si="4"/>
        <v>202.43487999999999</v>
      </c>
    </row>
    <row r="45" spans="1:11" x14ac:dyDescent="0.35">
      <c r="A45" s="116" t="s">
        <v>9</v>
      </c>
      <c r="B45" s="116"/>
      <c r="C45" s="6">
        <f>SUM(C37:C44)</f>
        <v>0.36800000000000005</v>
      </c>
      <c r="D45" s="4">
        <f>(ROUND(SUM(D37:D44),2))</f>
        <v>716.31</v>
      </c>
      <c r="E45" s="6">
        <f>SUM(E37:E44)</f>
        <v>0.36800000000000005</v>
      </c>
      <c r="F45" s="4">
        <f>(ROUND(SUM(F37:F44),2))</f>
        <v>840.44</v>
      </c>
      <c r="G45" s="6">
        <f>SUM(G37:G44)</f>
        <v>0.36800000000000005</v>
      </c>
      <c r="H45" s="4">
        <f>(ROUND(SUM(H37:H44),2))</f>
        <v>931.2</v>
      </c>
      <c r="I45" s="6">
        <f>SUM(I37:I44)</f>
        <v>0.36800000000000005</v>
      </c>
      <c r="J45" s="4">
        <f>(ROUND(SUM(J37:J44),2))</f>
        <v>931.2</v>
      </c>
    </row>
    <row r="47" spans="1:11" ht="15" customHeight="1" x14ac:dyDescent="0.35"/>
    <row r="48" spans="1:11" ht="40" customHeight="1" x14ac:dyDescent="0.35">
      <c r="A48" s="96" t="s">
        <v>30</v>
      </c>
      <c r="B48" s="96"/>
      <c r="C48" s="96" t="str">
        <f>$C$19</f>
        <v>Copeiragem</v>
      </c>
      <c r="D48" s="96"/>
      <c r="E48" s="96" t="str">
        <f>$E$19</f>
        <v>Copeiragem (adicional de insalubridade)</v>
      </c>
      <c r="F48" s="96"/>
      <c r="G48" s="96" t="str">
        <f>$G$19</f>
        <v>Copeiragem (adicional de periculosidade)</v>
      </c>
      <c r="H48" s="96"/>
      <c r="I48" s="96" t="str">
        <f>$I$19</f>
        <v>Carregador (adicional de periculosidade)</v>
      </c>
      <c r="J48" s="96"/>
    </row>
    <row r="49" spans="1:11" ht="29" x14ac:dyDescent="0.35">
      <c r="A49" s="29" t="s">
        <v>31</v>
      </c>
      <c r="B49" s="29" t="s">
        <v>32</v>
      </c>
      <c r="C49" s="20" t="s">
        <v>33</v>
      </c>
      <c r="D49" s="29" t="s">
        <v>6</v>
      </c>
      <c r="E49" s="20" t="s">
        <v>33</v>
      </c>
      <c r="F49" s="29" t="s">
        <v>6</v>
      </c>
      <c r="G49" s="20" t="s">
        <v>33</v>
      </c>
      <c r="H49" s="29" t="s">
        <v>6</v>
      </c>
      <c r="I49" s="20" t="s">
        <v>33</v>
      </c>
      <c r="J49" s="29" t="s">
        <v>6</v>
      </c>
      <c r="K49" t="s">
        <v>148</v>
      </c>
    </row>
    <row r="50" spans="1:11" x14ac:dyDescent="0.35">
      <c r="A50" s="29" t="s">
        <v>0</v>
      </c>
      <c r="B50" s="27" t="s">
        <v>34</v>
      </c>
      <c r="C50" s="31">
        <v>5.5</v>
      </c>
      <c r="D50" s="3">
        <f>ROUND(IF((C50*2*21)-(D21*6%)&gt;=0,(C50*2*21)-(D21*6%),0),2)</f>
        <v>133.22</v>
      </c>
      <c r="E50" s="31">
        <v>5.5</v>
      </c>
      <c r="F50" s="3">
        <f>ROUND(IF((E50*2*21)-(F21*6%)&gt;=0,(E50*2*21)-(F21*6%),0),2)</f>
        <v>133.22</v>
      </c>
      <c r="G50" s="31">
        <v>5.5</v>
      </c>
      <c r="H50" s="3">
        <f>ROUND(IF((G50*2*21)-(H21*6%)&gt;=0,(G50*2*21)-(H21*6%),0),2)</f>
        <v>133.22</v>
      </c>
      <c r="I50" s="31">
        <v>5.5</v>
      </c>
      <c r="J50" s="3">
        <f>ROUND(IF((I50*2*21)-(J21*6%)&gt;=0,(I50*2*21)-(J21*6%),0),2)</f>
        <v>133.22</v>
      </c>
    </row>
    <row r="51" spans="1:11" x14ac:dyDescent="0.35">
      <c r="A51" s="123" t="s">
        <v>1</v>
      </c>
      <c r="B51" s="124" t="s">
        <v>35</v>
      </c>
      <c r="C51" s="10" t="s">
        <v>36</v>
      </c>
      <c r="D51" s="3"/>
      <c r="E51" s="10" t="s">
        <v>36</v>
      </c>
      <c r="F51" s="3"/>
      <c r="G51" s="10" t="s">
        <v>36</v>
      </c>
      <c r="H51" s="3"/>
      <c r="I51" s="10" t="s">
        <v>36</v>
      </c>
      <c r="J51" s="3"/>
      <c r="K51" t="s">
        <v>149</v>
      </c>
    </row>
    <row r="52" spans="1:11" x14ac:dyDescent="0.35">
      <c r="A52" s="123"/>
      <c r="B52" s="124"/>
      <c r="C52" s="31">
        <v>42.2</v>
      </c>
      <c r="D52" s="3">
        <f>(C52*21)</f>
        <v>886.2</v>
      </c>
      <c r="E52" s="31">
        <v>42.2</v>
      </c>
      <c r="F52" s="3">
        <f>(E52*21)</f>
        <v>886.2</v>
      </c>
      <c r="G52" s="31">
        <v>42.2</v>
      </c>
      <c r="H52" s="3">
        <f>(G52*21)</f>
        <v>886.2</v>
      </c>
      <c r="I52" s="31">
        <v>42.2</v>
      </c>
      <c r="J52" s="3">
        <f>(I52*21)</f>
        <v>886.2</v>
      </c>
    </row>
    <row r="53" spans="1:11" x14ac:dyDescent="0.35">
      <c r="A53" s="29" t="s">
        <v>2</v>
      </c>
      <c r="B53" s="27" t="s">
        <v>8</v>
      </c>
      <c r="C53" s="6"/>
      <c r="D53" s="29"/>
      <c r="E53" s="6"/>
      <c r="F53" s="29"/>
      <c r="G53" s="6"/>
      <c r="H53" s="29"/>
      <c r="I53" s="6"/>
      <c r="J53" s="29"/>
    </row>
    <row r="54" spans="1:11" x14ac:dyDescent="0.35">
      <c r="A54" s="116" t="s">
        <v>9</v>
      </c>
      <c r="B54" s="116"/>
      <c r="C54" s="27"/>
      <c r="D54" s="4">
        <f>ROUND(SUM(D50:D53),2)</f>
        <v>1019.42</v>
      </c>
      <c r="E54" s="27"/>
      <c r="F54" s="4">
        <f>ROUND(SUM(F50:F53),2)</f>
        <v>1019.42</v>
      </c>
      <c r="G54" s="27"/>
      <c r="H54" s="4">
        <f>ROUND(SUM(H50:H53),2)</f>
        <v>1019.42</v>
      </c>
      <c r="I54" s="27"/>
      <c r="J54" s="4">
        <f>ROUND(SUM(J50:J53),2)</f>
        <v>1019.42</v>
      </c>
    </row>
    <row r="56" spans="1:11" ht="15" customHeight="1" x14ac:dyDescent="0.35"/>
    <row r="57" spans="1:11" ht="40" customHeight="1" x14ac:dyDescent="0.35">
      <c r="A57" s="96" t="s">
        <v>37</v>
      </c>
      <c r="B57" s="96"/>
      <c r="C57" s="96" t="str">
        <f>$C$19</f>
        <v>Copeiragem</v>
      </c>
      <c r="D57" s="96"/>
      <c r="E57" s="96" t="str">
        <f>$E$19</f>
        <v>Copeiragem (adicional de insalubridade)</v>
      </c>
      <c r="F57" s="96"/>
      <c r="G57" s="96" t="str">
        <f>$G$19</f>
        <v>Copeiragem (adicional de periculosidade)</v>
      </c>
      <c r="H57" s="96"/>
      <c r="I57" s="96" t="str">
        <f>$I$19</f>
        <v>Carregador (adicional de periculosidade)</v>
      </c>
      <c r="J57" s="96"/>
    </row>
    <row r="58" spans="1:11" x14ac:dyDescent="0.35">
      <c r="A58" s="29">
        <v>2</v>
      </c>
      <c r="B58" s="29" t="s">
        <v>32</v>
      </c>
      <c r="C58" s="29"/>
      <c r="D58" s="29" t="s">
        <v>6</v>
      </c>
      <c r="E58" s="29"/>
      <c r="F58" s="29" t="s">
        <v>6</v>
      </c>
      <c r="G58" s="29"/>
      <c r="H58" s="29" t="s">
        <v>6</v>
      </c>
      <c r="I58" s="29"/>
      <c r="J58" s="29" t="s">
        <v>6</v>
      </c>
    </row>
    <row r="59" spans="1:11" x14ac:dyDescent="0.35">
      <c r="A59" s="29" t="s">
        <v>11</v>
      </c>
      <c r="B59" s="27" t="s">
        <v>38</v>
      </c>
      <c r="C59" s="6"/>
      <c r="D59" s="3">
        <f>D32</f>
        <v>316.87</v>
      </c>
      <c r="E59" s="6"/>
      <c r="F59" s="3">
        <f>F32</f>
        <v>371.78999999999996</v>
      </c>
      <c r="G59" s="7"/>
      <c r="H59" s="3">
        <f>H32</f>
        <v>411.92999999999995</v>
      </c>
      <c r="I59" s="7"/>
      <c r="J59" s="3">
        <f>J32</f>
        <v>411.92999999999995</v>
      </c>
    </row>
    <row r="60" spans="1:11" x14ac:dyDescent="0.35">
      <c r="A60" s="29" t="s">
        <v>16</v>
      </c>
      <c r="B60" s="27" t="s">
        <v>17</v>
      </c>
      <c r="C60" s="6"/>
      <c r="D60" s="28">
        <f>D45</f>
        <v>716.31</v>
      </c>
      <c r="E60" s="6"/>
      <c r="F60" s="28">
        <f>F45</f>
        <v>840.44</v>
      </c>
      <c r="G60" s="7"/>
      <c r="H60" s="28">
        <f>H45</f>
        <v>931.2</v>
      </c>
      <c r="I60" s="7"/>
      <c r="J60" s="28">
        <f>J45</f>
        <v>931.2</v>
      </c>
    </row>
    <row r="61" spans="1:11" x14ac:dyDescent="0.35">
      <c r="A61" s="29" t="s">
        <v>31</v>
      </c>
      <c r="B61" s="27" t="s">
        <v>32</v>
      </c>
      <c r="C61" s="6"/>
      <c r="D61" s="28">
        <f>D54</f>
        <v>1019.42</v>
      </c>
      <c r="E61" s="6"/>
      <c r="F61" s="28">
        <f>F54</f>
        <v>1019.42</v>
      </c>
      <c r="G61" s="7"/>
      <c r="H61" s="28">
        <f>H54</f>
        <v>1019.42</v>
      </c>
      <c r="I61" s="7"/>
      <c r="J61" s="28">
        <f>J54</f>
        <v>1019.42</v>
      </c>
    </row>
    <row r="62" spans="1:11" x14ac:dyDescent="0.35">
      <c r="A62" s="116" t="s">
        <v>9</v>
      </c>
      <c r="B62" s="116"/>
      <c r="C62" s="27"/>
      <c r="D62" s="8">
        <f>SUM(D59:D61)</f>
        <v>2052.6</v>
      </c>
      <c r="E62" s="27"/>
      <c r="F62" s="8">
        <f>SUM(F59:F61)</f>
        <v>2231.65</v>
      </c>
      <c r="G62" s="27"/>
      <c r="H62" s="4">
        <f>SUM(H59:H61)</f>
        <v>2362.5500000000002</v>
      </c>
      <c r="I62" s="27"/>
      <c r="J62" s="4">
        <f>SUM(J59:J61)</f>
        <v>2362.5500000000002</v>
      </c>
    </row>
    <row r="64" spans="1:11" ht="15" customHeight="1" x14ac:dyDescent="0.35"/>
    <row r="65" spans="1:11" ht="40" customHeight="1" x14ac:dyDescent="0.35">
      <c r="A65" s="96" t="s">
        <v>39</v>
      </c>
      <c r="B65" s="96"/>
      <c r="C65" s="96" t="str">
        <f>$C$19</f>
        <v>Copeiragem</v>
      </c>
      <c r="D65" s="96"/>
      <c r="E65" s="96" t="str">
        <f>$E$19</f>
        <v>Copeiragem (adicional de insalubridade)</v>
      </c>
      <c r="F65" s="96"/>
      <c r="G65" s="96" t="str">
        <f>$G$19</f>
        <v>Copeiragem (adicional de periculosidade)</v>
      </c>
      <c r="H65" s="96"/>
      <c r="I65" s="96" t="str">
        <f>$I$19</f>
        <v>Carregador (adicional de periculosidade)</v>
      </c>
      <c r="J65" s="96"/>
    </row>
    <row r="66" spans="1:11" x14ac:dyDescent="0.35">
      <c r="A66" s="29">
        <v>3</v>
      </c>
      <c r="B66" s="29" t="s">
        <v>40</v>
      </c>
      <c r="C66" s="29" t="s">
        <v>13</v>
      </c>
      <c r="D66" s="29" t="s">
        <v>6</v>
      </c>
      <c r="E66" s="29" t="s">
        <v>13</v>
      </c>
      <c r="F66" s="29" t="s">
        <v>6</v>
      </c>
      <c r="G66" s="29" t="s">
        <v>13</v>
      </c>
      <c r="H66" s="29" t="s">
        <v>6</v>
      </c>
      <c r="I66" s="29" t="s">
        <v>13</v>
      </c>
      <c r="J66" s="29" t="s">
        <v>6</v>
      </c>
      <c r="K66" t="s">
        <v>150</v>
      </c>
    </row>
    <row r="67" spans="1:11" x14ac:dyDescent="0.35">
      <c r="A67" s="29" t="s">
        <v>0</v>
      </c>
      <c r="B67" s="27" t="s">
        <v>41</v>
      </c>
      <c r="C67" s="5">
        <f>(1/12*5.55%)</f>
        <v>4.6249999999999998E-3</v>
      </c>
      <c r="D67" s="3">
        <f>ROUND(C67*D25,2)</f>
        <v>7.54</v>
      </c>
      <c r="E67" s="5">
        <f>(1/12*5.55%)</f>
        <v>4.6249999999999998E-3</v>
      </c>
      <c r="F67" s="3">
        <f>ROUND(E67*F25,2)</f>
        <v>8.84</v>
      </c>
      <c r="G67" s="5">
        <f>(1/12*5.55%)</f>
        <v>4.6249999999999998E-3</v>
      </c>
      <c r="H67" s="3">
        <f>ROUND(G67*H25,2)</f>
        <v>9.8000000000000007</v>
      </c>
      <c r="I67" s="5">
        <f>(1/12*5.55%)</f>
        <v>4.6249999999999998E-3</v>
      </c>
      <c r="J67" s="3">
        <f>ROUND(I67*J25,2)</f>
        <v>9.8000000000000007</v>
      </c>
    </row>
    <row r="68" spans="1:11" x14ac:dyDescent="0.35">
      <c r="A68" s="29" t="s">
        <v>1</v>
      </c>
      <c r="B68" s="27" t="s">
        <v>42</v>
      </c>
      <c r="C68" s="5">
        <v>0.08</v>
      </c>
      <c r="D68" s="3">
        <f>C68*D67</f>
        <v>0.60320000000000007</v>
      </c>
      <c r="E68" s="5">
        <v>0.08</v>
      </c>
      <c r="F68" s="3">
        <f>E68*F67</f>
        <v>0.70720000000000005</v>
      </c>
      <c r="G68" s="5">
        <v>0.08</v>
      </c>
      <c r="H68" s="3">
        <f>G68*H67</f>
        <v>0.78400000000000003</v>
      </c>
      <c r="I68" s="5">
        <v>0.08</v>
      </c>
      <c r="J68" s="3">
        <f>I68*J67</f>
        <v>0.78400000000000003</v>
      </c>
      <c r="K68" t="s">
        <v>151</v>
      </c>
    </row>
    <row r="69" spans="1:11" x14ac:dyDescent="0.35">
      <c r="A69" s="29" t="s">
        <v>2</v>
      </c>
      <c r="B69" s="27" t="s">
        <v>43</v>
      </c>
      <c r="C69" s="5">
        <f>(7/30)/12</f>
        <v>1.9444444444444445E-2</v>
      </c>
      <c r="D69" s="3">
        <f>C69*D25</f>
        <v>31.687055555555553</v>
      </c>
      <c r="E69" s="5">
        <f>(7/30)/12</f>
        <v>1.9444444444444445E-2</v>
      </c>
      <c r="F69" s="3">
        <f>E69*F25</f>
        <v>37.178166666666669</v>
      </c>
      <c r="G69" s="5">
        <f>(7/30)/12</f>
        <v>1.9444444444444445E-2</v>
      </c>
      <c r="H69" s="3">
        <f>G69*H25</f>
        <v>41.193172222222223</v>
      </c>
      <c r="I69" s="5">
        <f>(7/30)/12</f>
        <v>1.9444444444444445E-2</v>
      </c>
      <c r="J69" s="3">
        <f>I69*J25</f>
        <v>41.193172222222223</v>
      </c>
    </row>
    <row r="70" spans="1:11" x14ac:dyDescent="0.35">
      <c r="A70" s="32" t="s">
        <v>3</v>
      </c>
      <c r="B70" s="9" t="s">
        <v>44</v>
      </c>
      <c r="C70" s="5">
        <f>C45</f>
        <v>0.36800000000000005</v>
      </c>
      <c r="D70" s="3">
        <f>C70*D69</f>
        <v>11.660836444444445</v>
      </c>
      <c r="E70" s="5">
        <f>E45</f>
        <v>0.36800000000000005</v>
      </c>
      <c r="F70" s="3">
        <f>E70*F69</f>
        <v>13.681565333333337</v>
      </c>
      <c r="G70" s="5">
        <f>G45</f>
        <v>0.36800000000000005</v>
      </c>
      <c r="H70" s="3">
        <f>G70*H69</f>
        <v>15.15908737777778</v>
      </c>
      <c r="I70" s="5">
        <f>I45</f>
        <v>0.36800000000000005</v>
      </c>
      <c r="J70" s="3">
        <f>I70*J69</f>
        <v>15.15908737777778</v>
      </c>
      <c r="K70" t="s">
        <v>152</v>
      </c>
    </row>
    <row r="71" spans="1:11" x14ac:dyDescent="0.35">
      <c r="A71" s="29" t="s">
        <v>22</v>
      </c>
      <c r="B71" s="27" t="s">
        <v>45</v>
      </c>
      <c r="C71" s="5">
        <v>0.04</v>
      </c>
      <c r="D71" s="3">
        <f>C71*D25</f>
        <v>65.184799999999996</v>
      </c>
      <c r="E71" s="5">
        <v>0.04</v>
      </c>
      <c r="F71" s="3">
        <f>E71*F25</f>
        <v>76.480800000000002</v>
      </c>
      <c r="G71" s="5">
        <v>0.04</v>
      </c>
      <c r="H71" s="3">
        <f>G71*H25</f>
        <v>84.74024</v>
      </c>
      <c r="I71" s="5">
        <v>0.04</v>
      </c>
      <c r="J71" s="3">
        <f>I71*J25</f>
        <v>84.74024</v>
      </c>
    </row>
    <row r="72" spans="1:11" x14ac:dyDescent="0.35">
      <c r="A72" s="116" t="s">
        <v>9</v>
      </c>
      <c r="B72" s="116"/>
      <c r="C72" s="27"/>
      <c r="D72" s="4">
        <f>ROUND(SUM(D67:D71),2)</f>
        <v>116.68</v>
      </c>
      <c r="E72" s="27"/>
      <c r="F72" s="4">
        <f>ROUND(SUM(F67:F71),2)</f>
        <v>136.88999999999999</v>
      </c>
      <c r="G72" s="27"/>
      <c r="H72" s="4">
        <f>ROUND(SUM(H67:H71),2)</f>
        <v>151.68</v>
      </c>
      <c r="I72" s="27"/>
      <c r="J72" s="4">
        <f>ROUND(SUM(J67:J71),2)</f>
        <v>151.68</v>
      </c>
    </row>
    <row r="74" spans="1:11" ht="15" customHeight="1" x14ac:dyDescent="0.35"/>
    <row r="75" spans="1:11" ht="40" customHeight="1" x14ac:dyDescent="0.35">
      <c r="A75" s="96" t="s">
        <v>97</v>
      </c>
      <c r="B75" s="96"/>
      <c r="C75" s="96" t="str">
        <f>$C$19</f>
        <v>Copeiragem</v>
      </c>
      <c r="D75" s="96"/>
      <c r="E75" s="96" t="str">
        <f>$E$19</f>
        <v>Copeiragem (adicional de insalubridade)</v>
      </c>
      <c r="F75" s="96"/>
      <c r="G75" s="96" t="str">
        <f>$G$19</f>
        <v>Copeiragem (adicional de periculosidade)</v>
      </c>
      <c r="H75" s="96"/>
      <c r="I75" s="96" t="str">
        <f>$I$19</f>
        <v>Carregador (adicional de periculosidade)</v>
      </c>
      <c r="J75" s="96"/>
    </row>
    <row r="76" spans="1:11" x14ac:dyDescent="0.35">
      <c r="A76" s="29" t="s">
        <v>46</v>
      </c>
      <c r="B76" s="29" t="s">
        <v>98</v>
      </c>
      <c r="C76" s="29" t="s">
        <v>13</v>
      </c>
      <c r="D76" s="29" t="s">
        <v>6</v>
      </c>
      <c r="E76" s="29" t="s">
        <v>13</v>
      </c>
      <c r="F76" s="29" t="s">
        <v>6</v>
      </c>
      <c r="G76" s="29" t="s">
        <v>13</v>
      </c>
      <c r="H76" s="29" t="s">
        <v>6</v>
      </c>
      <c r="I76" s="29" t="s">
        <v>13</v>
      </c>
      <c r="J76" s="29" t="s">
        <v>6</v>
      </c>
      <c r="K76" t="s">
        <v>153</v>
      </c>
    </row>
    <row r="77" spans="1:11" x14ac:dyDescent="0.35">
      <c r="A77" s="29" t="s">
        <v>0</v>
      </c>
      <c r="B77" s="27" t="s">
        <v>47</v>
      </c>
      <c r="C77" s="5">
        <f>12.1%-C31</f>
        <v>9.8888888888888915E-3</v>
      </c>
      <c r="D77" s="3">
        <f t="shared" ref="D77:D82" si="6">C77*($D$25+$D$59+$D$60+$D$72)</f>
        <v>27.485968888888891</v>
      </c>
      <c r="E77" s="5">
        <f>12.1%-E31</f>
        <v>9.8888888888888915E-3</v>
      </c>
      <c r="F77" s="3">
        <f>E77*($F$25+$F$59+$F$60+$F$72)</f>
        <v>32.249051111111122</v>
      </c>
      <c r="G77" s="5">
        <f>12.1%-G31</f>
        <v>9.8888888888888915E-3</v>
      </c>
      <c r="H77" s="3">
        <f t="shared" ref="H77:H82" si="7">G77*($H$25+$H$59+$H$60+$H$72)</f>
        <v>35.73168044444445</v>
      </c>
      <c r="I77" s="5">
        <f>12.1%-I31</f>
        <v>9.8888888888888915E-3</v>
      </c>
      <c r="J77" s="3">
        <f t="shared" ref="J77:J82" si="8">I77*($J$25+$J$59+$J$60+$J$72)</f>
        <v>35.73168044444445</v>
      </c>
      <c r="K77" t="s">
        <v>154</v>
      </c>
    </row>
    <row r="78" spans="1:11" x14ac:dyDescent="0.35">
      <c r="A78" s="29" t="s">
        <v>1</v>
      </c>
      <c r="B78" s="27" t="s">
        <v>48</v>
      </c>
      <c r="C78" s="5">
        <f>(5.96/30)/12</f>
        <v>1.6555555555555556E-2</v>
      </c>
      <c r="D78" s="3">
        <f t="shared" si="6"/>
        <v>46.015835555555547</v>
      </c>
      <c r="E78" s="5">
        <f>(5.96/30)/12</f>
        <v>1.6555555555555556E-2</v>
      </c>
      <c r="F78" s="3">
        <f t="shared" ref="F78:F82" si="9">E78*($F$25+$F$59+$F$60+$F$72)</f>
        <v>53.989984444444445</v>
      </c>
      <c r="G78" s="5">
        <f>(5.96/30)/12</f>
        <v>1.6555555555555556E-2</v>
      </c>
      <c r="H78" s="3">
        <f t="shared" si="7"/>
        <v>59.820453777777772</v>
      </c>
      <c r="I78" s="5">
        <f>(5.96/30)/12</f>
        <v>1.6555555555555556E-2</v>
      </c>
      <c r="J78" s="3">
        <f t="shared" si="8"/>
        <v>59.820453777777772</v>
      </c>
      <c r="K78" t="s">
        <v>155</v>
      </c>
    </row>
    <row r="79" spans="1:11" ht="15" customHeight="1" x14ac:dyDescent="0.35">
      <c r="A79" s="29" t="s">
        <v>2</v>
      </c>
      <c r="B79" s="27" t="s">
        <v>49</v>
      </c>
      <c r="C79" s="5">
        <f>((5/30)/12)*0.015</f>
        <v>2.0833333333333332E-4</v>
      </c>
      <c r="D79" s="3">
        <f t="shared" si="6"/>
        <v>0.57905833333333323</v>
      </c>
      <c r="E79" s="5">
        <f>((5/30)/12)*0.015</f>
        <v>2.0833333333333332E-4</v>
      </c>
      <c r="F79" s="3">
        <f t="shared" si="9"/>
        <v>0.67940416666666659</v>
      </c>
      <c r="G79" s="5">
        <f>((5/30)/12)*0.015</f>
        <v>2.0833333333333332E-4</v>
      </c>
      <c r="H79" s="3">
        <f t="shared" si="7"/>
        <v>0.75277416666666652</v>
      </c>
      <c r="I79" s="5">
        <f>((5/30)/12)*0.015</f>
        <v>2.0833333333333332E-4</v>
      </c>
      <c r="J79" s="3">
        <f t="shared" si="8"/>
        <v>0.75277416666666652</v>
      </c>
      <c r="K79" t="s">
        <v>136</v>
      </c>
    </row>
    <row r="80" spans="1:11" ht="15" customHeight="1" x14ac:dyDescent="0.35">
      <c r="A80" s="32" t="s">
        <v>3</v>
      </c>
      <c r="B80" s="9" t="s">
        <v>50</v>
      </c>
      <c r="C80" s="5">
        <f>(15/360)*0.44%</f>
        <v>1.8333333333333334E-4</v>
      </c>
      <c r="D80" s="3">
        <f t="shared" si="6"/>
        <v>0.50957133333333327</v>
      </c>
      <c r="E80" s="5">
        <f>(15/360)*0.44%</f>
        <v>1.8333333333333334E-4</v>
      </c>
      <c r="F80" s="3">
        <f t="shared" si="9"/>
        <v>0.59787566666666669</v>
      </c>
      <c r="G80" s="5">
        <f>(15/360)*0.44%</f>
        <v>1.8333333333333334E-4</v>
      </c>
      <c r="H80" s="3">
        <f t="shared" si="7"/>
        <v>0.66244126666666658</v>
      </c>
      <c r="I80" s="5">
        <f>(15/360)*0.44%</f>
        <v>1.8333333333333334E-4</v>
      </c>
      <c r="J80" s="3">
        <f t="shared" si="8"/>
        <v>0.66244126666666658</v>
      </c>
      <c r="K80" t="s">
        <v>156</v>
      </c>
    </row>
    <row r="81" spans="1:10" x14ac:dyDescent="0.35">
      <c r="A81" s="32" t="s">
        <v>22</v>
      </c>
      <c r="B81" s="9" t="s">
        <v>51</v>
      </c>
      <c r="C81" s="5">
        <f>50%*(4/12)*1.5%*(8.33%+11.11%)</f>
        <v>4.8599999999999989E-4</v>
      </c>
      <c r="D81" s="3">
        <f t="shared" si="6"/>
        <v>1.3508272799999994</v>
      </c>
      <c r="E81" s="5">
        <f>50%*(4/12)*1.5%*(8.33%+11.11%)</f>
        <v>4.8599999999999989E-4</v>
      </c>
      <c r="F81" s="3">
        <f t="shared" si="9"/>
        <v>1.5849140399999995</v>
      </c>
      <c r="G81" s="5">
        <f>50%*(4/12)*1.5%*(8.33%+11.11%)</f>
        <v>4.8599999999999989E-4</v>
      </c>
      <c r="H81" s="3">
        <f t="shared" si="7"/>
        <v>1.7560715759999992</v>
      </c>
      <c r="I81" s="5">
        <f>50%*(4/12)*1.5%*(8.33%+11.11%)</f>
        <v>4.8599999999999989E-4</v>
      </c>
      <c r="J81" s="3">
        <f t="shared" si="8"/>
        <v>1.7560715759999992</v>
      </c>
    </row>
    <row r="82" spans="1:10" x14ac:dyDescent="0.35">
      <c r="A82" s="29" t="s">
        <v>24</v>
      </c>
      <c r="B82" s="27" t="s">
        <v>52</v>
      </c>
      <c r="C82" s="6"/>
      <c r="D82" s="3">
        <f t="shared" si="6"/>
        <v>0</v>
      </c>
      <c r="E82" s="6"/>
      <c r="F82" s="3">
        <f t="shared" si="9"/>
        <v>0</v>
      </c>
      <c r="G82" s="6"/>
      <c r="H82" s="3">
        <f t="shared" si="7"/>
        <v>0</v>
      </c>
      <c r="I82" s="6"/>
      <c r="J82" s="3">
        <f t="shared" si="8"/>
        <v>0</v>
      </c>
    </row>
    <row r="83" spans="1:10" x14ac:dyDescent="0.35">
      <c r="A83" s="116" t="s">
        <v>9</v>
      </c>
      <c r="B83" s="116"/>
      <c r="C83" s="27"/>
      <c r="D83" s="4">
        <f>ROUND(SUM(D77:D82),2)</f>
        <v>75.94</v>
      </c>
      <c r="E83" s="27"/>
      <c r="F83" s="4">
        <f>ROUND(SUM(F77:F82),2)</f>
        <v>89.1</v>
      </c>
      <c r="G83" s="27"/>
      <c r="H83" s="4">
        <f>ROUND(SUM(H77:H82),2)</f>
        <v>98.72</v>
      </c>
      <c r="I83" s="27"/>
      <c r="J83" s="4">
        <f>ROUND(SUM(J77:J82),2)</f>
        <v>98.72</v>
      </c>
    </row>
    <row r="85" spans="1:10" ht="15" customHeight="1" x14ac:dyDescent="0.35"/>
    <row r="86" spans="1:10" ht="40" customHeight="1" x14ac:dyDescent="0.35">
      <c r="A86" s="96" t="s">
        <v>53</v>
      </c>
      <c r="B86" s="96"/>
      <c r="C86" s="96" t="str">
        <f>$C$19</f>
        <v>Copeiragem</v>
      </c>
      <c r="D86" s="96"/>
      <c r="E86" s="96" t="str">
        <f>$E$19</f>
        <v>Copeiragem (adicional de insalubridade)</v>
      </c>
      <c r="F86" s="96"/>
      <c r="G86" s="96" t="str">
        <f>$G$19</f>
        <v>Copeiragem (adicional de periculosidade)</v>
      </c>
      <c r="H86" s="96"/>
      <c r="I86" s="96" t="str">
        <f>$I$19</f>
        <v>Carregador (adicional de periculosidade)</v>
      </c>
      <c r="J86" s="96"/>
    </row>
    <row r="87" spans="1:10" x14ac:dyDescent="0.35">
      <c r="A87" s="29" t="s">
        <v>54</v>
      </c>
      <c r="B87" s="29" t="s">
        <v>58</v>
      </c>
      <c r="C87" s="29"/>
      <c r="D87" s="29" t="s">
        <v>6</v>
      </c>
      <c r="E87" s="29"/>
      <c r="F87" s="29" t="s">
        <v>6</v>
      </c>
      <c r="G87" s="29"/>
      <c r="H87" s="29" t="s">
        <v>6</v>
      </c>
      <c r="I87" s="29"/>
      <c r="J87" s="29" t="s">
        <v>6</v>
      </c>
    </row>
    <row r="88" spans="1:10" ht="29" x14ac:dyDescent="0.35">
      <c r="A88" s="29" t="s">
        <v>0</v>
      </c>
      <c r="B88" s="9" t="s">
        <v>55</v>
      </c>
      <c r="C88" s="10"/>
      <c r="D88" s="3">
        <v>0</v>
      </c>
      <c r="E88" s="10"/>
      <c r="F88" s="3">
        <v>0</v>
      </c>
      <c r="G88" s="7"/>
      <c r="H88" s="3">
        <v>0</v>
      </c>
      <c r="I88" s="7"/>
      <c r="J88" s="3">
        <v>0</v>
      </c>
    </row>
    <row r="89" spans="1:10" x14ac:dyDescent="0.35">
      <c r="A89" s="116" t="s">
        <v>9</v>
      </c>
      <c r="B89" s="116"/>
      <c r="C89" s="27"/>
      <c r="D89" s="4">
        <f>SUM(D88:D88)</f>
        <v>0</v>
      </c>
      <c r="E89" s="27"/>
      <c r="F89" s="4">
        <f>SUM(F88:F88)</f>
        <v>0</v>
      </c>
      <c r="G89" s="27"/>
      <c r="H89" s="4">
        <f>SUM(H88:H88)</f>
        <v>0</v>
      </c>
      <c r="I89" s="27"/>
      <c r="J89" s="4">
        <f>SUM(J88:J88)</f>
        <v>0</v>
      </c>
    </row>
    <row r="91" spans="1:10" ht="15" customHeight="1" x14ac:dyDescent="0.35"/>
    <row r="92" spans="1:10" ht="40" customHeight="1" x14ac:dyDescent="0.35">
      <c r="A92" s="96" t="s">
        <v>56</v>
      </c>
      <c r="B92" s="96"/>
      <c r="C92" s="96" t="str">
        <f>$C$19</f>
        <v>Copeiragem</v>
      </c>
      <c r="D92" s="96"/>
      <c r="E92" s="96" t="str">
        <f>$E$19</f>
        <v>Copeiragem (adicional de insalubridade)</v>
      </c>
      <c r="F92" s="96"/>
      <c r="G92" s="96" t="str">
        <f>$G$19</f>
        <v>Copeiragem (adicional de periculosidade)</v>
      </c>
      <c r="H92" s="96"/>
      <c r="I92" s="96" t="str">
        <f>$I$19</f>
        <v>Carregador (adicional de periculosidade)</v>
      </c>
      <c r="J92" s="96"/>
    </row>
    <row r="93" spans="1:10" x14ac:dyDescent="0.35">
      <c r="A93" s="29">
        <v>4</v>
      </c>
      <c r="B93" s="29" t="s">
        <v>99</v>
      </c>
      <c r="C93" s="29"/>
      <c r="D93" s="29" t="s">
        <v>6</v>
      </c>
      <c r="E93" s="29"/>
      <c r="F93" s="29" t="s">
        <v>6</v>
      </c>
      <c r="G93" s="29"/>
      <c r="H93" s="29" t="s">
        <v>6</v>
      </c>
      <c r="I93" s="29"/>
      <c r="J93" s="29" t="s">
        <v>6</v>
      </c>
    </row>
    <row r="94" spans="1:10" x14ac:dyDescent="0.35">
      <c r="A94" s="29" t="s">
        <v>46</v>
      </c>
      <c r="B94" s="27" t="s">
        <v>57</v>
      </c>
      <c r="C94" s="6"/>
      <c r="D94" s="28">
        <f>D83</f>
        <v>75.94</v>
      </c>
      <c r="E94" s="6"/>
      <c r="F94" s="28">
        <f>F83</f>
        <v>89.1</v>
      </c>
      <c r="G94" s="7"/>
      <c r="H94" s="28">
        <f>H83</f>
        <v>98.72</v>
      </c>
      <c r="I94" s="7"/>
      <c r="J94" s="28">
        <f>J83</f>
        <v>98.72</v>
      </c>
    </row>
    <row r="95" spans="1:10" x14ac:dyDescent="0.35">
      <c r="A95" s="29" t="s">
        <v>54</v>
      </c>
      <c r="B95" s="27" t="s">
        <v>58</v>
      </c>
      <c r="C95" s="6"/>
      <c r="D95" s="28">
        <f>D89</f>
        <v>0</v>
      </c>
      <c r="E95" s="6"/>
      <c r="F95" s="28">
        <f>F89</f>
        <v>0</v>
      </c>
      <c r="G95" s="7"/>
      <c r="H95" s="28">
        <f>H89</f>
        <v>0</v>
      </c>
      <c r="I95" s="7"/>
      <c r="J95" s="28">
        <f>J89</f>
        <v>0</v>
      </c>
    </row>
    <row r="96" spans="1:10" x14ac:dyDescent="0.35">
      <c r="A96" s="116" t="s">
        <v>9</v>
      </c>
      <c r="B96" s="116"/>
      <c r="C96" s="27"/>
      <c r="D96" s="4">
        <f>ROUND(SUM(D94:D95),2)</f>
        <v>75.94</v>
      </c>
      <c r="E96" s="27"/>
      <c r="F96" s="4">
        <f>ROUND(SUM(F94:F95),2)</f>
        <v>89.1</v>
      </c>
      <c r="G96" s="27"/>
      <c r="H96" s="4">
        <f>ROUND(SUM(H94:H95),2)</f>
        <v>98.72</v>
      </c>
      <c r="I96" s="27"/>
      <c r="J96" s="4">
        <f>ROUND(SUM(J94:J95),2)</f>
        <v>98.72</v>
      </c>
    </row>
    <row r="98" spans="1:11" ht="15" customHeight="1" x14ac:dyDescent="0.35"/>
    <row r="99" spans="1:11" ht="40" customHeight="1" x14ac:dyDescent="0.35">
      <c r="A99" s="96" t="s">
        <v>59</v>
      </c>
      <c r="B99" s="96"/>
      <c r="C99" s="96" t="str">
        <f>$C$19</f>
        <v>Copeiragem</v>
      </c>
      <c r="D99" s="96"/>
      <c r="E99" s="96" t="str">
        <f>$E$19</f>
        <v>Copeiragem (adicional de insalubridade)</v>
      </c>
      <c r="F99" s="96"/>
      <c r="G99" s="96" t="str">
        <f>$G$19</f>
        <v>Copeiragem (adicional de periculosidade)</v>
      </c>
      <c r="H99" s="96"/>
      <c r="I99" s="96" t="str">
        <f>$I$19</f>
        <v>Carregador (adicional de periculosidade)</v>
      </c>
      <c r="J99" s="96"/>
    </row>
    <row r="100" spans="1:11" x14ac:dyDescent="0.35">
      <c r="A100" s="29">
        <v>5</v>
      </c>
      <c r="B100" s="29" t="s">
        <v>60</v>
      </c>
      <c r="C100" s="29"/>
      <c r="D100" s="29" t="s">
        <v>6</v>
      </c>
      <c r="E100" s="29"/>
      <c r="F100" s="29" t="s">
        <v>6</v>
      </c>
      <c r="G100" s="29"/>
      <c r="H100" s="29" t="s">
        <v>6</v>
      </c>
      <c r="I100" s="29"/>
      <c r="J100" s="29" t="s">
        <v>6</v>
      </c>
    </row>
    <row r="101" spans="1:11" x14ac:dyDescent="0.35">
      <c r="A101" s="29" t="s">
        <v>0</v>
      </c>
      <c r="B101" s="27" t="s">
        <v>273</v>
      </c>
      <c r="C101" s="6"/>
      <c r="D101" s="28">
        <f>Uniformes!B10</f>
        <v>78.349999999999994</v>
      </c>
      <c r="E101" s="6"/>
      <c r="F101" s="28">
        <f>Uniformes!B10</f>
        <v>78.349999999999994</v>
      </c>
      <c r="G101" s="7"/>
      <c r="H101" s="28">
        <f>Uniformes!B10</f>
        <v>78.349999999999994</v>
      </c>
      <c r="I101" s="7"/>
      <c r="J101" s="28">
        <f>Uniformes!B26</f>
        <v>163.51600000000002</v>
      </c>
    </row>
    <row r="102" spans="1:11" x14ac:dyDescent="0.35">
      <c r="A102" s="29" t="s">
        <v>1</v>
      </c>
      <c r="B102" s="27" t="s">
        <v>61</v>
      </c>
      <c r="C102" s="6"/>
      <c r="D102" s="83">
        <f>Mat_Ins_Copeiragem!L56</f>
        <v>973.40577777777764</v>
      </c>
      <c r="E102" s="6"/>
      <c r="F102" s="83">
        <f>D102</f>
        <v>973.40577777777764</v>
      </c>
      <c r="G102" s="7"/>
      <c r="H102" s="83">
        <f>D102</f>
        <v>973.40577777777764</v>
      </c>
      <c r="I102" s="7"/>
      <c r="J102" s="29"/>
    </row>
    <row r="103" spans="1:11" x14ac:dyDescent="0.35">
      <c r="A103" s="29" t="s">
        <v>2</v>
      </c>
      <c r="B103" s="27" t="s">
        <v>62</v>
      </c>
      <c r="C103" s="6"/>
      <c r="D103" s="29"/>
      <c r="E103" s="6"/>
      <c r="F103" s="29"/>
      <c r="G103" s="7"/>
      <c r="H103" s="29"/>
      <c r="I103" s="7"/>
      <c r="J103" s="29"/>
    </row>
    <row r="104" spans="1:11" x14ac:dyDescent="0.35">
      <c r="A104" s="32" t="s">
        <v>3</v>
      </c>
      <c r="B104" s="9" t="s">
        <v>8</v>
      </c>
      <c r="C104" s="6"/>
      <c r="D104" s="29"/>
      <c r="E104" s="6"/>
      <c r="F104" s="29"/>
      <c r="G104" s="7"/>
      <c r="H104" s="29"/>
      <c r="I104" s="7"/>
      <c r="J104" s="29"/>
    </row>
    <row r="105" spans="1:11" x14ac:dyDescent="0.35">
      <c r="A105" s="116" t="s">
        <v>9</v>
      </c>
      <c r="B105" s="116"/>
      <c r="C105" s="27"/>
      <c r="D105" s="4">
        <f>ROUND(SUM(D101:D104),2)</f>
        <v>1051.76</v>
      </c>
      <c r="E105" s="27"/>
      <c r="F105" s="4">
        <f>ROUND(SUM(F101:F104),2)</f>
        <v>1051.76</v>
      </c>
      <c r="G105" s="27"/>
      <c r="H105" s="4">
        <f>ROUND(SUM(H101:H104),2)</f>
        <v>1051.76</v>
      </c>
      <c r="I105" s="27"/>
      <c r="J105" s="4">
        <f>ROUND(SUM(J101:J104),2)</f>
        <v>163.52000000000001</v>
      </c>
    </row>
    <row r="107" spans="1:11" ht="15" customHeight="1" x14ac:dyDescent="0.35"/>
    <row r="108" spans="1:11" ht="40" customHeight="1" x14ac:dyDescent="0.35">
      <c r="A108" s="96" t="s">
        <v>63</v>
      </c>
      <c r="B108" s="96"/>
      <c r="C108" s="96" t="str">
        <f>$C$19</f>
        <v>Copeiragem</v>
      </c>
      <c r="D108" s="96"/>
      <c r="E108" s="96" t="str">
        <f>$E$19</f>
        <v>Copeiragem (adicional de insalubridade)</v>
      </c>
      <c r="F108" s="96"/>
      <c r="G108" s="96" t="str">
        <f>$G$19</f>
        <v>Copeiragem (adicional de periculosidade)</v>
      </c>
      <c r="H108" s="96"/>
      <c r="I108" s="96" t="str">
        <f>$I$19</f>
        <v>Carregador (adicional de periculosidade)</v>
      </c>
      <c r="J108" s="96"/>
    </row>
    <row r="109" spans="1:11" x14ac:dyDescent="0.35">
      <c r="A109" s="29">
        <v>6</v>
      </c>
      <c r="B109" s="29" t="s">
        <v>100</v>
      </c>
      <c r="C109" s="29" t="s">
        <v>13</v>
      </c>
      <c r="D109" s="29" t="s">
        <v>6</v>
      </c>
      <c r="E109" s="29" t="s">
        <v>13</v>
      </c>
      <c r="F109" s="29" t="s">
        <v>6</v>
      </c>
      <c r="G109" s="29" t="s">
        <v>13</v>
      </c>
      <c r="H109" s="29" t="s">
        <v>6</v>
      </c>
      <c r="I109" s="29" t="s">
        <v>13</v>
      </c>
      <c r="J109" s="29" t="s">
        <v>6</v>
      </c>
      <c r="K109" t="s">
        <v>137</v>
      </c>
    </row>
    <row r="110" spans="1:11" x14ac:dyDescent="0.35">
      <c r="A110" s="29" t="s">
        <v>0</v>
      </c>
      <c r="B110" s="27" t="s">
        <v>64</v>
      </c>
      <c r="C110" s="5">
        <f>ROUND(LDI!$B$10,2)</f>
        <v>0.01</v>
      </c>
      <c r="D110" s="28">
        <f>ROUND(D125*C110,2)</f>
        <v>49.27</v>
      </c>
      <c r="E110" s="5">
        <f>ROUND(LDI!$B$10,2)</f>
        <v>0.01</v>
      </c>
      <c r="F110" s="28">
        <f>ROUND(F125*E110,2)</f>
        <v>54.21</v>
      </c>
      <c r="G110" s="5">
        <f>ROUND(LDI!$B$10,2)</f>
        <v>0.01</v>
      </c>
      <c r="H110" s="28">
        <f>ROUND(H125*G110,2)</f>
        <v>57.83</v>
      </c>
      <c r="I110" s="5">
        <f>ROUND(LDI!$B$10,2)</f>
        <v>0.01</v>
      </c>
      <c r="J110" s="28">
        <f>ROUND(J125*I110,2)</f>
        <v>48.95</v>
      </c>
      <c r="K110" t="s">
        <v>393</v>
      </c>
    </row>
    <row r="111" spans="1:11" x14ac:dyDescent="0.35">
      <c r="A111" s="29" t="s">
        <v>1</v>
      </c>
      <c r="B111" s="27" t="s">
        <v>65</v>
      </c>
      <c r="C111" s="5">
        <v>0.1</v>
      </c>
      <c r="D111" s="28">
        <f>ROUND((D125+D110)*C111,2)</f>
        <v>497.59</v>
      </c>
      <c r="E111" s="5">
        <v>0.1</v>
      </c>
      <c r="F111" s="28">
        <f>ROUND((F125+F110)*E111,2)</f>
        <v>547.55999999999995</v>
      </c>
      <c r="G111" s="5">
        <v>0.1</v>
      </c>
      <c r="H111" s="28">
        <f>ROUND((H125+H110)*G111,2)</f>
        <v>584.11</v>
      </c>
      <c r="I111" s="5">
        <v>0.1</v>
      </c>
      <c r="J111" s="28">
        <f>ROUND((J125+J110)*I111,2)</f>
        <v>494.39</v>
      </c>
    </row>
    <row r="112" spans="1:11" x14ac:dyDescent="0.35">
      <c r="A112" s="29" t="s">
        <v>2</v>
      </c>
      <c r="B112" s="27" t="s">
        <v>66</v>
      </c>
      <c r="C112" s="5">
        <f t="shared" ref="C112:J112" si="10">SUM(C113:C115)</f>
        <v>0.14250000000000002</v>
      </c>
      <c r="D112" s="28">
        <f t="shared" si="10"/>
        <v>909.58</v>
      </c>
      <c r="E112" s="5">
        <f t="shared" ref="E112:F112" si="11">SUM(E113:E115)</f>
        <v>0.14250000000000002</v>
      </c>
      <c r="F112" s="28">
        <f t="shared" si="11"/>
        <v>1000.94</v>
      </c>
      <c r="G112" s="5">
        <f t="shared" si="10"/>
        <v>0.14250000000000002</v>
      </c>
      <c r="H112" s="28">
        <f t="shared" si="10"/>
        <v>1067.73</v>
      </c>
      <c r="I112" s="5">
        <f t="shared" si="10"/>
        <v>0.14250000000000002</v>
      </c>
      <c r="J112" s="28">
        <f t="shared" si="10"/>
        <v>903.74</v>
      </c>
      <c r="K112" t="s">
        <v>173</v>
      </c>
    </row>
    <row r="113" spans="1:11" x14ac:dyDescent="0.35">
      <c r="A113" s="32" t="s">
        <v>67</v>
      </c>
      <c r="B113" s="9" t="s">
        <v>68</v>
      </c>
      <c r="C113" s="5">
        <v>1.6500000000000001E-2</v>
      </c>
      <c r="D113" s="28">
        <f>ROUND(C113*D127,2)</f>
        <v>105.32</v>
      </c>
      <c r="E113" s="5">
        <v>1.6500000000000001E-2</v>
      </c>
      <c r="F113" s="28">
        <f>ROUND(E113*F127,2)</f>
        <v>115.9</v>
      </c>
      <c r="G113" s="5">
        <v>1.6500000000000001E-2</v>
      </c>
      <c r="H113" s="28">
        <f>ROUND(G113*H127,2)</f>
        <v>123.63</v>
      </c>
      <c r="I113" s="5">
        <v>1.6500000000000001E-2</v>
      </c>
      <c r="J113" s="28">
        <f>ROUND(I113*J127,2)</f>
        <v>104.64</v>
      </c>
      <c r="K113" t="s">
        <v>174</v>
      </c>
    </row>
    <row r="114" spans="1:11" x14ac:dyDescent="0.35">
      <c r="A114" s="32" t="s">
        <v>69</v>
      </c>
      <c r="B114" s="9" t="s">
        <v>70</v>
      </c>
      <c r="C114" s="5">
        <v>7.5999999999999998E-2</v>
      </c>
      <c r="D114" s="28">
        <f>ROUND(C114*D127,2)</f>
        <v>485.11</v>
      </c>
      <c r="E114" s="5">
        <v>7.5999999999999998E-2</v>
      </c>
      <c r="F114" s="28">
        <f>ROUND(E114*F127,2)</f>
        <v>533.83000000000004</v>
      </c>
      <c r="G114" s="5">
        <v>7.5999999999999998E-2</v>
      </c>
      <c r="H114" s="28">
        <f>ROUND(G114*H127,2)</f>
        <v>569.46</v>
      </c>
      <c r="I114" s="5">
        <v>7.5999999999999998E-2</v>
      </c>
      <c r="J114" s="28">
        <f>ROUND(I114*J127,2)</f>
        <v>482</v>
      </c>
      <c r="K114" t="s">
        <v>175</v>
      </c>
    </row>
    <row r="115" spans="1:11" x14ac:dyDescent="0.35">
      <c r="A115" s="29" t="s">
        <v>71</v>
      </c>
      <c r="B115" s="27" t="s">
        <v>72</v>
      </c>
      <c r="C115" s="5">
        <v>0.05</v>
      </c>
      <c r="D115" s="28">
        <f>ROUND(C115*D127,2)</f>
        <v>319.14999999999998</v>
      </c>
      <c r="E115" s="5">
        <v>0.05</v>
      </c>
      <c r="F115" s="28">
        <f>ROUND(E115*F127,2)</f>
        <v>351.21</v>
      </c>
      <c r="G115" s="5">
        <v>0.05</v>
      </c>
      <c r="H115" s="28">
        <f>ROUND(G115*H127,2)</f>
        <v>374.64</v>
      </c>
      <c r="I115" s="5">
        <v>0.05</v>
      </c>
      <c r="J115" s="28">
        <f>ROUND(I115*J127,2)</f>
        <v>317.10000000000002</v>
      </c>
    </row>
    <row r="116" spans="1:11" x14ac:dyDescent="0.35">
      <c r="A116" s="116" t="s">
        <v>9</v>
      </c>
      <c r="B116" s="116"/>
      <c r="C116" s="27"/>
      <c r="D116" s="4">
        <f>ROUND(SUM(D110+D111+D112),2)</f>
        <v>1456.44</v>
      </c>
      <c r="E116" s="27"/>
      <c r="F116" s="4">
        <f>ROUND(SUM(F110+F111+F112),2)</f>
        <v>1602.71</v>
      </c>
      <c r="G116" s="27"/>
      <c r="H116" s="4">
        <f>ROUND(SUM(H110+H111+H112),2)</f>
        <v>1709.67</v>
      </c>
      <c r="I116" s="27"/>
      <c r="J116" s="4">
        <f>ROUND(SUM(J110+J111+J112),2)</f>
        <v>1447.08</v>
      </c>
    </row>
    <row r="117" spans="1:11" ht="15" customHeight="1" x14ac:dyDescent="0.35">
      <c r="A117" s="33"/>
      <c r="B117" s="33"/>
      <c r="D117" s="11"/>
      <c r="F117" s="11"/>
      <c r="H117" s="11"/>
      <c r="J117" s="11"/>
    </row>
    <row r="118" spans="1:11" ht="40" customHeight="1" x14ac:dyDescent="0.35">
      <c r="A118" s="96" t="s">
        <v>73</v>
      </c>
      <c r="B118" s="96"/>
      <c r="C118" s="96" t="str">
        <f>$C$19</f>
        <v>Copeiragem</v>
      </c>
      <c r="D118" s="96"/>
      <c r="E118" s="96" t="str">
        <f>$E$19</f>
        <v>Copeiragem (adicional de insalubridade)</v>
      </c>
      <c r="F118" s="96"/>
      <c r="G118" s="96" t="str">
        <f>$G$19</f>
        <v>Copeiragem (adicional de periculosidade)</v>
      </c>
      <c r="H118" s="96"/>
      <c r="I118" s="96" t="str">
        <f>$I$19</f>
        <v>Carregador (adicional de periculosidade)</v>
      </c>
      <c r="J118" s="96"/>
    </row>
    <row r="119" spans="1:11" x14ac:dyDescent="0.35">
      <c r="A119" s="123" t="s">
        <v>74</v>
      </c>
      <c r="B119" s="123"/>
      <c r="C119" s="29" t="s">
        <v>13</v>
      </c>
      <c r="D119" s="29" t="s">
        <v>6</v>
      </c>
      <c r="E119" s="29" t="s">
        <v>13</v>
      </c>
      <c r="F119" s="29" t="s">
        <v>6</v>
      </c>
      <c r="G119" s="29" t="s">
        <v>13</v>
      </c>
      <c r="H119" s="29" t="s">
        <v>6</v>
      </c>
      <c r="I119" s="29" t="s">
        <v>13</v>
      </c>
      <c r="J119" s="29" t="s">
        <v>6</v>
      </c>
    </row>
    <row r="120" spans="1:11" x14ac:dyDescent="0.35">
      <c r="A120" s="29" t="s">
        <v>0</v>
      </c>
      <c r="B120" s="27" t="s">
        <v>75</v>
      </c>
      <c r="C120" s="7">
        <f>(D120/$D$127)</f>
        <v>0.25530453314722307</v>
      </c>
      <c r="D120" s="28">
        <f>D25</f>
        <v>1629.62</v>
      </c>
      <c r="E120" s="7">
        <f>(F120/$F$127)</f>
        <v>0.27220744323190865</v>
      </c>
      <c r="F120" s="28">
        <f>F25</f>
        <v>1912.02</v>
      </c>
      <c r="G120" s="34">
        <f>H120/$H$127</f>
        <v>0.28273519959036036</v>
      </c>
      <c r="H120" s="28">
        <f>H25</f>
        <v>2118.5059999999999</v>
      </c>
      <c r="I120" s="34">
        <f>J120/$J$127</f>
        <v>0.33404045642772029</v>
      </c>
      <c r="J120" s="28">
        <f>J25</f>
        <v>2118.5059999999999</v>
      </c>
    </row>
    <row r="121" spans="1:11" x14ac:dyDescent="0.35">
      <c r="A121" s="29" t="s">
        <v>1</v>
      </c>
      <c r="B121" s="27" t="s">
        <v>76</v>
      </c>
      <c r="C121" s="7">
        <f t="shared" ref="C121:C126" si="12">(D121/$D$127)</f>
        <v>0.32157072491623206</v>
      </c>
      <c r="D121" s="28">
        <f>D62</f>
        <v>2052.6</v>
      </c>
      <c r="E121" s="7">
        <f>(F121/$F$127)</f>
        <v>0.31771202220086031</v>
      </c>
      <c r="F121" s="28">
        <f>F62</f>
        <v>2231.65</v>
      </c>
      <c r="G121" s="34">
        <f>H121/$H$127</f>
        <v>0.31530524142589444</v>
      </c>
      <c r="H121" s="28">
        <f>H62</f>
        <v>2362.5500000000002</v>
      </c>
      <c r="I121" s="34">
        <f>J121/$J$127</f>
        <v>0.37252067274452405</v>
      </c>
      <c r="J121" s="28">
        <f>J62</f>
        <v>2362.5500000000002</v>
      </c>
    </row>
    <row r="122" spans="1:11" x14ac:dyDescent="0.35">
      <c r="A122" s="29" t="s">
        <v>2</v>
      </c>
      <c r="B122" s="27" t="s">
        <v>77</v>
      </c>
      <c r="C122" s="7">
        <f t="shared" si="12"/>
        <v>1.827968049460487E-2</v>
      </c>
      <c r="D122" s="28">
        <f>D72</f>
        <v>116.68</v>
      </c>
      <c r="E122" s="7">
        <f>(F122/$F$127)</f>
        <v>1.9488539295622415E-2</v>
      </c>
      <c r="F122" s="28">
        <f>F72</f>
        <v>136.88999999999999</v>
      </c>
      <c r="G122" s="34">
        <f>H122/$H$127</f>
        <v>2.0243169041704798E-2</v>
      </c>
      <c r="H122" s="28">
        <f>H72</f>
        <v>151.68</v>
      </c>
      <c r="I122" s="34">
        <f>J122/$J$127</f>
        <v>2.3916503626119832E-2</v>
      </c>
      <c r="J122" s="28">
        <f>J72</f>
        <v>151.68</v>
      </c>
    </row>
    <row r="123" spans="1:11" x14ac:dyDescent="0.35">
      <c r="A123" s="32" t="s">
        <v>3</v>
      </c>
      <c r="B123" s="9" t="s">
        <v>78</v>
      </c>
      <c r="C123" s="7">
        <f t="shared" si="12"/>
        <v>1.1897145498459837E-2</v>
      </c>
      <c r="D123" s="28">
        <f>D96</f>
        <v>75.94</v>
      </c>
      <c r="E123" s="7">
        <f>(F123/$F$127)</f>
        <v>1.2684848062239443E-2</v>
      </c>
      <c r="F123" s="28">
        <f>F96</f>
        <v>89.1</v>
      </c>
      <c r="G123" s="34">
        <f>H123/$H$127</f>
        <v>1.3175142720181285E-2</v>
      </c>
      <c r="H123" s="28">
        <f>H96</f>
        <v>98.72</v>
      </c>
      <c r="I123" s="34">
        <f>J123/$J$127</f>
        <v>1.5565910060459848E-2</v>
      </c>
      <c r="J123" s="28">
        <f>J96</f>
        <v>98.72</v>
      </c>
    </row>
    <row r="124" spans="1:11" x14ac:dyDescent="0.35">
      <c r="A124" s="32" t="s">
        <v>22</v>
      </c>
      <c r="B124" s="9" t="s">
        <v>79</v>
      </c>
      <c r="C124" s="7">
        <f t="shared" si="12"/>
        <v>0.16477405516802895</v>
      </c>
      <c r="D124" s="28">
        <f>D105</f>
        <v>1051.76</v>
      </c>
      <c r="E124" s="7">
        <f>(F124/$F$127)</f>
        <v>0.14973530637419705</v>
      </c>
      <c r="F124" s="28">
        <f>F105</f>
        <v>1051.76</v>
      </c>
      <c r="G124" s="34">
        <f>H124/$H$127</f>
        <v>0.14036758617684228</v>
      </c>
      <c r="H124" s="28">
        <f>H105</f>
        <v>1051.76</v>
      </c>
      <c r="I124" s="34">
        <f>J124/$J$127</f>
        <v>2.5783403698200917E-2</v>
      </c>
      <c r="J124" s="28">
        <f>J105</f>
        <v>163.52000000000001</v>
      </c>
    </row>
    <row r="125" spans="1:11" x14ac:dyDescent="0.35">
      <c r="A125" s="125" t="s">
        <v>80</v>
      </c>
      <c r="B125" s="125"/>
      <c r="C125" s="7"/>
      <c r="D125" s="35">
        <f>ROUND(SUM(D120:D124),2)</f>
        <v>4926.6000000000004</v>
      </c>
      <c r="E125" s="7"/>
      <c r="F125" s="35">
        <f>ROUND(SUM(F120:F124),2)</f>
        <v>5421.42</v>
      </c>
      <c r="G125" s="34"/>
      <c r="H125" s="35">
        <f>ROUND(SUM(H120:H124),2)</f>
        <v>5783.22</v>
      </c>
      <c r="I125" s="34"/>
      <c r="J125" s="35">
        <f>ROUND(SUM(J120:J124),2)</f>
        <v>4894.9799999999996</v>
      </c>
    </row>
    <row r="126" spans="1:11" x14ac:dyDescent="0.35">
      <c r="A126" s="32" t="s">
        <v>24</v>
      </c>
      <c r="B126" s="36" t="s">
        <v>63</v>
      </c>
      <c r="C126" s="7">
        <f t="shared" si="12"/>
        <v>0.2281732761361186</v>
      </c>
      <c r="D126" s="28">
        <f>D116</f>
        <v>1456.44</v>
      </c>
      <c r="E126" s="7">
        <f>(F126/$F$127)</f>
        <v>0.22817208572201772</v>
      </c>
      <c r="F126" s="28">
        <f>F116</f>
        <v>1602.71</v>
      </c>
      <c r="G126" s="34">
        <f>H126/$H$127</f>
        <v>0.22817206497581383</v>
      </c>
      <c r="H126" s="28">
        <f>H116</f>
        <v>1709.67</v>
      </c>
      <c r="I126" s="34">
        <f>J126/$J$127</f>
        <v>0.22817176995836949</v>
      </c>
      <c r="J126" s="28">
        <f>J116</f>
        <v>1447.08</v>
      </c>
    </row>
    <row r="127" spans="1:11" x14ac:dyDescent="0.35">
      <c r="A127" s="125" t="s">
        <v>81</v>
      </c>
      <c r="B127" s="125"/>
      <c r="C127" s="37">
        <f>SUM(C120:C126)</f>
        <v>0.99999941536066728</v>
      </c>
      <c r="D127" s="35">
        <f>(D125+D110+D111)/(1-C112)</f>
        <v>6383.0437317784272</v>
      </c>
      <c r="E127" s="37">
        <f>SUM(E120:E126)</f>
        <v>1.0000002448868457</v>
      </c>
      <c r="F127" s="35">
        <f>(F125+F110+F111)/(1-E112)</f>
        <v>7024.1282798833827</v>
      </c>
      <c r="G127" s="34">
        <f>SUM(G120:G126)</f>
        <v>0.99999840393079698</v>
      </c>
      <c r="H127" s="35">
        <f>(H125+H110+H111)/(1-G112)</f>
        <v>7492.8979591836742</v>
      </c>
      <c r="I127" s="34">
        <f>SUM(I120:I126)</f>
        <v>0.9999987165153944</v>
      </c>
      <c r="J127" s="35">
        <f>(J125+J110+J111)/(1-I112)</f>
        <v>6342.0641399416909</v>
      </c>
    </row>
    <row r="128" spans="1:11" x14ac:dyDescent="0.35">
      <c r="D128" s="38">
        <f>D127/D120</f>
        <v>3.9168908897647472</v>
      </c>
      <c r="F128" s="38">
        <f>F127/F120</f>
        <v>3.6736688318549926</v>
      </c>
      <c r="G128" s="38"/>
      <c r="H128" s="38">
        <f>H127/H120</f>
        <v>3.536878328021575</v>
      </c>
      <c r="I128" s="38"/>
      <c r="J128" s="38">
        <f>J127/J120</f>
        <v>2.9936493641942441</v>
      </c>
    </row>
    <row r="129" spans="1:22" ht="15" customHeight="1" x14ac:dyDescent="0.35">
      <c r="D129" s="38">
        <f>(D127-D120)/D120</f>
        <v>2.9168908897647472</v>
      </c>
      <c r="F129" s="38">
        <f>(F127-F120)/F120</f>
        <v>2.6736688318549926</v>
      </c>
      <c r="G129" s="38"/>
      <c r="H129" s="38">
        <f>(H127-H120)/H120</f>
        <v>2.536878328021575</v>
      </c>
      <c r="I129" s="38"/>
      <c r="J129" s="38">
        <f>(J127-J120)/J120</f>
        <v>1.9936493641942443</v>
      </c>
    </row>
    <row r="130" spans="1:22" ht="40" customHeight="1" x14ac:dyDescent="0.35">
      <c r="A130" s="96" t="s">
        <v>355</v>
      </c>
      <c r="B130" s="96"/>
      <c r="C130" s="96"/>
      <c r="D130" s="96"/>
      <c r="E130" s="96"/>
      <c r="F130" s="96"/>
      <c r="G130" s="96"/>
      <c r="H130" s="96"/>
      <c r="I130" s="96"/>
      <c r="J130" s="96"/>
      <c r="K130" s="96"/>
      <c r="L130" s="96"/>
    </row>
    <row r="131" spans="1:22" x14ac:dyDescent="0.35">
      <c r="A131" s="96" t="s">
        <v>82</v>
      </c>
      <c r="B131" s="96"/>
      <c r="C131" s="96" t="s">
        <v>83</v>
      </c>
      <c r="D131" s="96"/>
      <c r="E131" s="96" t="s">
        <v>84</v>
      </c>
      <c r="F131" s="96"/>
      <c r="G131" s="96" t="s">
        <v>85</v>
      </c>
      <c r="H131" s="96"/>
      <c r="I131" s="96" t="s">
        <v>86</v>
      </c>
      <c r="J131" s="96"/>
      <c r="K131" s="96" t="s">
        <v>87</v>
      </c>
      <c r="L131" s="96"/>
    </row>
    <row r="132" spans="1:22" x14ac:dyDescent="0.35">
      <c r="A132" s="29" t="s">
        <v>88</v>
      </c>
      <c r="B132" s="39" t="str">
        <f>C19</f>
        <v>Copeiragem</v>
      </c>
      <c r="C132" s="126">
        <f>ROUND(D127,2)</f>
        <v>6383.04</v>
      </c>
      <c r="D132" s="126"/>
      <c r="E132" s="127">
        <v>1</v>
      </c>
      <c r="F132" s="127"/>
      <c r="G132" s="126">
        <f>(C132*E132)</f>
        <v>6383.04</v>
      </c>
      <c r="H132" s="126"/>
      <c r="I132" s="127">
        <v>3</v>
      </c>
      <c r="J132" s="127"/>
      <c r="K132" s="126">
        <f>G132*I132</f>
        <v>19149.12</v>
      </c>
      <c r="L132" s="126"/>
    </row>
    <row r="133" spans="1:22" x14ac:dyDescent="0.35">
      <c r="A133" s="29" t="s">
        <v>89</v>
      </c>
      <c r="B133" s="39" t="str">
        <f>E19</f>
        <v>Copeiragem (adicional de insalubridade)</v>
      </c>
      <c r="C133" s="126">
        <f>ROUND(F127,2)</f>
        <v>7024.13</v>
      </c>
      <c r="D133" s="126"/>
      <c r="E133" s="127">
        <v>1</v>
      </c>
      <c r="F133" s="127"/>
      <c r="G133" s="126">
        <f>(C133*E133)</f>
        <v>7024.13</v>
      </c>
      <c r="H133" s="126"/>
      <c r="I133" s="127">
        <v>1</v>
      </c>
      <c r="J133" s="127"/>
      <c r="K133" s="128">
        <f>G133*I133</f>
        <v>7024.13</v>
      </c>
      <c r="L133" s="129"/>
    </row>
    <row r="134" spans="1:22" x14ac:dyDescent="0.35">
      <c r="A134" s="29" t="s">
        <v>90</v>
      </c>
      <c r="B134" s="39" t="str">
        <f>G19</f>
        <v>Copeiragem (adicional de periculosidade)</v>
      </c>
      <c r="C134" s="126">
        <f>ROUND(H127,2)</f>
        <v>7492.9</v>
      </c>
      <c r="D134" s="126"/>
      <c r="E134" s="127">
        <v>1</v>
      </c>
      <c r="F134" s="127"/>
      <c r="G134" s="130">
        <f t="shared" ref="G134:G135" si="13">(C134*E134)</f>
        <v>7492.9</v>
      </c>
      <c r="H134" s="130"/>
      <c r="I134" s="127">
        <v>3</v>
      </c>
      <c r="J134" s="127"/>
      <c r="K134" s="126">
        <f t="shared" ref="K134:K135" si="14">G134*I134</f>
        <v>22478.699999999997</v>
      </c>
      <c r="L134" s="126"/>
    </row>
    <row r="135" spans="1:22" x14ac:dyDescent="0.35">
      <c r="A135" s="32" t="s">
        <v>91</v>
      </c>
      <c r="B135" s="85" t="str">
        <f>I19</f>
        <v>Carregador (adicional de periculosidade)</v>
      </c>
      <c r="C135" s="126">
        <f>ROUND(J127,2)</f>
        <v>6342.06</v>
      </c>
      <c r="D135" s="126"/>
      <c r="E135" s="127">
        <v>1</v>
      </c>
      <c r="F135" s="127"/>
      <c r="G135" s="130">
        <f t="shared" si="13"/>
        <v>6342.06</v>
      </c>
      <c r="H135" s="130"/>
      <c r="I135" s="127">
        <v>2</v>
      </c>
      <c r="J135" s="127"/>
      <c r="K135" s="126">
        <f t="shared" si="14"/>
        <v>12684.12</v>
      </c>
      <c r="L135" s="126"/>
      <c r="N135" s="55"/>
      <c r="O135" s="55"/>
      <c r="P135" s="55"/>
      <c r="Q135" s="55"/>
      <c r="R135" s="55"/>
      <c r="S135" s="55"/>
      <c r="T135" s="55"/>
      <c r="V135" s="55"/>
    </row>
    <row r="136" spans="1:22" x14ac:dyDescent="0.35">
      <c r="A136" s="131" t="s">
        <v>93</v>
      </c>
      <c r="B136" s="131"/>
      <c r="C136" s="123"/>
      <c r="D136" s="123"/>
      <c r="E136" s="123"/>
      <c r="F136" s="123"/>
      <c r="G136" s="123"/>
      <c r="H136" s="123"/>
      <c r="I136" s="127">
        <f>SUM(I132:I135)</f>
        <v>9</v>
      </c>
      <c r="J136" s="127"/>
      <c r="K136" s="132">
        <f>SUM(K132:K135)</f>
        <v>61336.07</v>
      </c>
      <c r="L136" s="132"/>
    </row>
    <row r="137" spans="1:22" x14ac:dyDescent="0.35">
      <c r="A137" s="131" t="s">
        <v>200</v>
      </c>
      <c r="B137" s="131"/>
      <c r="C137" s="123"/>
      <c r="D137" s="123"/>
      <c r="E137" s="123"/>
      <c r="F137" s="123"/>
      <c r="G137" s="123"/>
      <c r="H137" s="123"/>
      <c r="I137" s="123"/>
      <c r="J137" s="123"/>
      <c r="K137" s="132">
        <f>K136*12</f>
        <v>736032.84</v>
      </c>
      <c r="L137" s="132"/>
    </row>
    <row r="138" spans="1:22" x14ac:dyDescent="0.35">
      <c r="A138" s="131" t="s">
        <v>201</v>
      </c>
      <c r="B138" s="131"/>
      <c r="C138" s="123"/>
      <c r="D138" s="123"/>
      <c r="E138" s="123"/>
      <c r="F138" s="123"/>
      <c r="G138" s="123"/>
      <c r="H138" s="123"/>
      <c r="I138" s="123"/>
      <c r="J138" s="123"/>
      <c r="K138" s="132">
        <f>K136*30</f>
        <v>1840082.1</v>
      </c>
      <c r="L138" s="132"/>
    </row>
  </sheetData>
  <mergeCells count="164">
    <mergeCell ref="C4:D4"/>
    <mergeCell ref="E4:F4"/>
    <mergeCell ref="G4:H4"/>
    <mergeCell ref="I4:J4"/>
    <mergeCell ref="C3:D3"/>
    <mergeCell ref="E3:F3"/>
    <mergeCell ref="G3:H3"/>
    <mergeCell ref="I3:J3"/>
    <mergeCell ref="C2:D2"/>
    <mergeCell ref="E2:F2"/>
    <mergeCell ref="G2:H2"/>
    <mergeCell ref="I2:J2"/>
    <mergeCell ref="C9:D9"/>
    <mergeCell ref="E9:F9"/>
    <mergeCell ref="G9:H9"/>
    <mergeCell ref="I9:J9"/>
    <mergeCell ref="C8:D8"/>
    <mergeCell ref="E8:F8"/>
    <mergeCell ref="G8:H8"/>
    <mergeCell ref="I8:J8"/>
    <mergeCell ref="C5:D5"/>
    <mergeCell ref="E5:F5"/>
    <mergeCell ref="G5:H5"/>
    <mergeCell ref="I5:J5"/>
    <mergeCell ref="C14:D14"/>
    <mergeCell ref="E14:F14"/>
    <mergeCell ref="G14:H14"/>
    <mergeCell ref="I14:J14"/>
    <mergeCell ref="C13:D13"/>
    <mergeCell ref="E13:F13"/>
    <mergeCell ref="G13:H13"/>
    <mergeCell ref="I13:J13"/>
    <mergeCell ref="C10:D10"/>
    <mergeCell ref="E10:F10"/>
    <mergeCell ref="G10:H10"/>
    <mergeCell ref="I10:J10"/>
    <mergeCell ref="C17:D17"/>
    <mergeCell ref="E17:F17"/>
    <mergeCell ref="G17:H17"/>
    <mergeCell ref="I17:J17"/>
    <mergeCell ref="C16:D16"/>
    <mergeCell ref="E16:F16"/>
    <mergeCell ref="G16:H16"/>
    <mergeCell ref="I16:J16"/>
    <mergeCell ref="C15:D15"/>
    <mergeCell ref="E15:F15"/>
    <mergeCell ref="G15:H15"/>
    <mergeCell ref="I15:J15"/>
    <mergeCell ref="I28:J28"/>
    <mergeCell ref="A25:B25"/>
    <mergeCell ref="A28:B28"/>
    <mergeCell ref="C28:D28"/>
    <mergeCell ref="E28:F28"/>
    <mergeCell ref="G28:H28"/>
    <mergeCell ref="A19:B19"/>
    <mergeCell ref="C19:D19"/>
    <mergeCell ref="E19:F19"/>
    <mergeCell ref="G19:H19"/>
    <mergeCell ref="I19:J19"/>
    <mergeCell ref="I48:J48"/>
    <mergeCell ref="A45:B45"/>
    <mergeCell ref="A48:B48"/>
    <mergeCell ref="C48:D48"/>
    <mergeCell ref="E48:F48"/>
    <mergeCell ref="G48:H48"/>
    <mergeCell ref="I35:J35"/>
    <mergeCell ref="A32:B32"/>
    <mergeCell ref="A35:B35"/>
    <mergeCell ref="C35:D35"/>
    <mergeCell ref="E35:F35"/>
    <mergeCell ref="G35:H35"/>
    <mergeCell ref="A62:B62"/>
    <mergeCell ref="A65:B65"/>
    <mergeCell ref="C65:D65"/>
    <mergeCell ref="E65:F65"/>
    <mergeCell ref="G65:H65"/>
    <mergeCell ref="I65:J65"/>
    <mergeCell ref="G57:H57"/>
    <mergeCell ref="I57:J57"/>
    <mergeCell ref="A51:A52"/>
    <mergeCell ref="B51:B52"/>
    <mergeCell ref="A54:B54"/>
    <mergeCell ref="A57:B57"/>
    <mergeCell ref="C57:D57"/>
    <mergeCell ref="E57:F57"/>
    <mergeCell ref="I86:J86"/>
    <mergeCell ref="A83:B83"/>
    <mergeCell ref="A86:B86"/>
    <mergeCell ref="C86:D86"/>
    <mergeCell ref="E86:F86"/>
    <mergeCell ref="G86:H86"/>
    <mergeCell ref="I75:J75"/>
    <mergeCell ref="A72:B72"/>
    <mergeCell ref="A75:B75"/>
    <mergeCell ref="C75:D75"/>
    <mergeCell ref="E75:F75"/>
    <mergeCell ref="G75:H75"/>
    <mergeCell ref="I99:J99"/>
    <mergeCell ref="A96:B96"/>
    <mergeCell ref="A99:B99"/>
    <mergeCell ref="C99:D99"/>
    <mergeCell ref="E99:F99"/>
    <mergeCell ref="G99:H99"/>
    <mergeCell ref="I92:J92"/>
    <mergeCell ref="A89:B89"/>
    <mergeCell ref="A92:B92"/>
    <mergeCell ref="C92:D92"/>
    <mergeCell ref="E92:F92"/>
    <mergeCell ref="G92:H92"/>
    <mergeCell ref="I118:J118"/>
    <mergeCell ref="A116:B116"/>
    <mergeCell ref="A118:B118"/>
    <mergeCell ref="C118:D118"/>
    <mergeCell ref="E118:F118"/>
    <mergeCell ref="G118:H118"/>
    <mergeCell ref="I108:J108"/>
    <mergeCell ref="A105:B105"/>
    <mergeCell ref="A108:B108"/>
    <mergeCell ref="C108:D108"/>
    <mergeCell ref="E108:F108"/>
    <mergeCell ref="G108:H108"/>
    <mergeCell ref="A119:B119"/>
    <mergeCell ref="A125:B125"/>
    <mergeCell ref="A127:B127"/>
    <mergeCell ref="A130:L130"/>
    <mergeCell ref="A131:B131"/>
    <mergeCell ref="C131:D131"/>
    <mergeCell ref="E131:F131"/>
    <mergeCell ref="G131:H131"/>
    <mergeCell ref="I131:J131"/>
    <mergeCell ref="K131:L131"/>
    <mergeCell ref="E132:F132"/>
    <mergeCell ref="G132:H132"/>
    <mergeCell ref="I132:J132"/>
    <mergeCell ref="K132:L132"/>
    <mergeCell ref="C133:D133"/>
    <mergeCell ref="E133:F133"/>
    <mergeCell ref="G133:H133"/>
    <mergeCell ref="I133:J133"/>
    <mergeCell ref="K133:L133"/>
    <mergeCell ref="A138:B138"/>
    <mergeCell ref="C138:J138"/>
    <mergeCell ref="K138:L138"/>
    <mergeCell ref="A1:J1"/>
    <mergeCell ref="A7:J7"/>
    <mergeCell ref="A12:J12"/>
    <mergeCell ref="A136:B136"/>
    <mergeCell ref="C136:H136"/>
    <mergeCell ref="I136:J136"/>
    <mergeCell ref="K136:L136"/>
    <mergeCell ref="A137:B137"/>
    <mergeCell ref="C137:J137"/>
    <mergeCell ref="K137:L137"/>
    <mergeCell ref="C135:D135"/>
    <mergeCell ref="E135:F135"/>
    <mergeCell ref="G135:H135"/>
    <mergeCell ref="I135:J135"/>
    <mergeCell ref="K135:L135"/>
    <mergeCell ref="C134:D134"/>
    <mergeCell ref="E134:F134"/>
    <mergeCell ref="G134:H134"/>
    <mergeCell ref="I134:J134"/>
    <mergeCell ref="K134:L134"/>
    <mergeCell ref="C132:D132"/>
  </mergeCells>
  <pageMargins left="0.51180555555555496" right="0.51180555555555496" top="0.78749999999999998" bottom="0.78749999999999998" header="0.51180555555555496" footer="0.51180555555555496"/>
  <pageSetup paperSize="9" scale="16" firstPageNumber="0" orientation="portrait"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F425C4-D187-4254-8CFB-D1A3314D856B}">
  <sheetPr>
    <pageSetUpPr fitToPage="1"/>
  </sheetPr>
  <dimension ref="A1:V137"/>
  <sheetViews>
    <sheetView showGridLines="0" topLeftCell="B106" zoomScaleNormal="100" workbookViewId="0">
      <selection activeCell="I110" sqref="I110"/>
    </sheetView>
  </sheetViews>
  <sheetFormatPr defaultRowHeight="14.5" x14ac:dyDescent="0.35"/>
  <cols>
    <col min="1" max="1" width="12.26953125" customWidth="1"/>
    <col min="2" max="2" width="54.81640625" customWidth="1"/>
    <col min="3" max="3" width="13.7265625" customWidth="1"/>
    <col min="4" max="4" width="17.7265625" customWidth="1"/>
    <col min="5" max="5" width="13.7265625" customWidth="1"/>
    <col min="6" max="6" width="17.7265625" customWidth="1"/>
    <col min="7" max="7" width="13.7265625" customWidth="1"/>
    <col min="8" max="8" width="17.7265625" customWidth="1"/>
    <col min="9" max="9" width="13.7265625" customWidth="1"/>
    <col min="10" max="10" width="17.7265625" customWidth="1"/>
    <col min="11" max="11" width="13.7265625" customWidth="1"/>
    <col min="12" max="12" width="17.7265625" customWidth="1"/>
    <col min="13" max="13" width="13.7265625" customWidth="1"/>
    <col min="14" max="20" width="17.7265625" customWidth="1"/>
    <col min="21" max="21" width="13.7265625" customWidth="1"/>
    <col min="22" max="22" width="17.7265625" customWidth="1"/>
    <col min="23" max="23" width="13.7265625" customWidth="1"/>
    <col min="24" max="24" width="17.7265625" customWidth="1"/>
    <col min="25" max="25" width="13.7265625" customWidth="1"/>
    <col min="26" max="26" width="17.7265625" customWidth="1"/>
    <col min="27" max="27" width="13.7265625" customWidth="1"/>
    <col min="28" max="28" width="17.7265625" customWidth="1"/>
    <col min="29" max="33" width="8.7265625" customWidth="1"/>
    <col min="35" max="1029" width="8.7265625" customWidth="1"/>
  </cols>
  <sheetData>
    <row r="1" spans="1:8" x14ac:dyDescent="0.35">
      <c r="A1" s="90" t="s">
        <v>218</v>
      </c>
      <c r="B1" s="90"/>
      <c r="C1" s="90"/>
      <c r="D1" s="90"/>
      <c r="E1" s="90"/>
      <c r="F1" s="90"/>
      <c r="G1" s="90"/>
      <c r="H1" s="90"/>
    </row>
    <row r="2" spans="1:8" x14ac:dyDescent="0.35">
      <c r="A2" s="29" t="s">
        <v>0</v>
      </c>
      <c r="B2" s="27" t="s">
        <v>219</v>
      </c>
      <c r="C2" s="118" t="s">
        <v>233</v>
      </c>
      <c r="D2" s="119" t="s">
        <v>235</v>
      </c>
      <c r="E2" s="118" t="s">
        <v>233</v>
      </c>
      <c r="F2" s="119" t="s">
        <v>235</v>
      </c>
      <c r="G2" s="118" t="s">
        <v>233</v>
      </c>
      <c r="H2" s="119" t="s">
        <v>235</v>
      </c>
    </row>
    <row r="3" spans="1:8" x14ac:dyDescent="0.35">
      <c r="A3" s="29" t="s">
        <v>1</v>
      </c>
      <c r="B3" s="27" t="s">
        <v>220</v>
      </c>
      <c r="C3" s="97" t="s">
        <v>234</v>
      </c>
      <c r="D3" s="99" t="s">
        <v>234</v>
      </c>
      <c r="E3" s="97" t="s">
        <v>234</v>
      </c>
      <c r="F3" s="99" t="s">
        <v>234</v>
      </c>
      <c r="G3" s="97" t="s">
        <v>234</v>
      </c>
      <c r="H3" s="99" t="s">
        <v>234</v>
      </c>
    </row>
    <row r="4" spans="1:8" x14ac:dyDescent="0.35">
      <c r="A4" s="29" t="s">
        <v>2</v>
      </c>
      <c r="B4" s="27" t="s">
        <v>221</v>
      </c>
      <c r="C4" s="118">
        <v>2024</v>
      </c>
      <c r="D4" s="119"/>
      <c r="E4" s="118">
        <v>2024</v>
      </c>
      <c r="F4" s="119"/>
      <c r="G4" s="118">
        <v>2024</v>
      </c>
      <c r="H4" s="119"/>
    </row>
    <row r="5" spans="1:8" x14ac:dyDescent="0.35">
      <c r="A5" s="29" t="s">
        <v>3</v>
      </c>
      <c r="B5" s="27" t="s">
        <v>222</v>
      </c>
      <c r="C5" s="118">
        <v>12</v>
      </c>
      <c r="D5" s="119"/>
      <c r="E5" s="118">
        <v>12</v>
      </c>
      <c r="F5" s="119"/>
      <c r="G5" s="118">
        <v>12</v>
      </c>
      <c r="H5" s="119"/>
    </row>
    <row r="7" spans="1:8" ht="14.5" customHeight="1" x14ac:dyDescent="0.35">
      <c r="A7" s="90" t="s">
        <v>223</v>
      </c>
      <c r="B7" s="90"/>
      <c r="C7" s="90"/>
      <c r="D7" s="90"/>
      <c r="E7" s="90"/>
      <c r="F7" s="90"/>
      <c r="G7" s="90"/>
      <c r="H7" s="90"/>
    </row>
    <row r="8" spans="1:8" x14ac:dyDescent="0.35">
      <c r="A8" s="29">
        <v>1</v>
      </c>
      <c r="B8" s="36" t="s">
        <v>224</v>
      </c>
      <c r="C8" s="97" t="s">
        <v>214</v>
      </c>
      <c r="D8" s="99"/>
      <c r="E8" s="97" t="s">
        <v>191</v>
      </c>
      <c r="F8" s="99"/>
      <c r="G8" s="97" t="s">
        <v>110</v>
      </c>
      <c r="H8" s="99"/>
    </row>
    <row r="9" spans="1:8" x14ac:dyDescent="0.35">
      <c r="A9" s="29" t="s">
        <v>0</v>
      </c>
      <c r="B9" s="27" t="s">
        <v>225</v>
      </c>
      <c r="C9" s="118" t="s">
        <v>236</v>
      </c>
      <c r="D9" s="119"/>
      <c r="E9" s="118" t="s">
        <v>236</v>
      </c>
      <c r="F9" s="119"/>
      <c r="G9" s="118" t="s">
        <v>236</v>
      </c>
      <c r="H9" s="119"/>
    </row>
    <row r="10" spans="1:8" x14ac:dyDescent="0.35">
      <c r="A10" s="29" t="s">
        <v>1</v>
      </c>
      <c r="B10" s="27" t="s">
        <v>226</v>
      </c>
      <c r="C10" s="118">
        <v>1</v>
      </c>
      <c r="D10" s="119"/>
      <c r="E10" s="118">
        <v>1</v>
      </c>
      <c r="F10" s="119"/>
      <c r="G10" s="118">
        <v>1</v>
      </c>
      <c r="H10" s="119"/>
    </row>
    <row r="11" spans="1:8" x14ac:dyDescent="0.35">
      <c r="A11" s="14"/>
      <c r="C11" s="61"/>
      <c r="D11" s="62"/>
      <c r="E11" s="61"/>
      <c r="F11" s="62"/>
      <c r="G11" s="61"/>
      <c r="H11" s="62"/>
    </row>
    <row r="12" spans="1:8" ht="14.5" customHeight="1" x14ac:dyDescent="0.35">
      <c r="A12" s="87" t="s">
        <v>231</v>
      </c>
      <c r="B12" s="88"/>
      <c r="C12" s="88"/>
      <c r="D12" s="88"/>
      <c r="E12" s="88"/>
      <c r="F12" s="88"/>
      <c r="G12" s="88"/>
      <c r="H12" s="89"/>
    </row>
    <row r="13" spans="1:8" x14ac:dyDescent="0.35">
      <c r="A13" s="29">
        <v>1</v>
      </c>
      <c r="B13" s="27" t="s">
        <v>227</v>
      </c>
      <c r="C13" s="135" t="s">
        <v>214</v>
      </c>
      <c r="D13" s="136"/>
      <c r="E13" s="135" t="s">
        <v>191</v>
      </c>
      <c r="F13" s="136"/>
      <c r="G13" s="139" t="s">
        <v>110</v>
      </c>
      <c r="H13" s="140"/>
    </row>
    <row r="14" spans="1:8" x14ac:dyDescent="0.35">
      <c r="A14" s="29">
        <v>2</v>
      </c>
      <c r="B14" s="27" t="s">
        <v>228</v>
      </c>
      <c r="C14" s="118" t="s">
        <v>239</v>
      </c>
      <c r="D14" s="119"/>
      <c r="E14" s="118" t="s">
        <v>243</v>
      </c>
      <c r="F14" s="119"/>
      <c r="G14" s="118" t="s">
        <v>242</v>
      </c>
      <c r="H14" s="119"/>
    </row>
    <row r="15" spans="1:8" x14ac:dyDescent="0.35">
      <c r="A15" s="29">
        <v>3</v>
      </c>
      <c r="B15" s="27" t="s">
        <v>229</v>
      </c>
      <c r="C15" s="133">
        <v>1629.62</v>
      </c>
      <c r="D15" s="134"/>
      <c r="E15" s="120">
        <v>1629.62</v>
      </c>
      <c r="F15" s="121"/>
      <c r="G15" s="137">
        <f>'Assitente Administrativo'!L7</f>
        <v>2864.6259999999997</v>
      </c>
      <c r="H15" s="138"/>
    </row>
    <row r="16" spans="1:8" x14ac:dyDescent="0.35">
      <c r="A16" s="29">
        <v>4</v>
      </c>
      <c r="B16" s="27" t="s">
        <v>230</v>
      </c>
      <c r="C16" s="118" t="s">
        <v>237</v>
      </c>
      <c r="D16" s="119"/>
      <c r="E16" s="118" t="s">
        <v>237</v>
      </c>
      <c r="F16" s="119"/>
      <c r="G16" s="118" t="s">
        <v>237</v>
      </c>
      <c r="H16" s="119"/>
    </row>
    <row r="17" spans="1:9" x14ac:dyDescent="0.35">
      <c r="A17" s="29">
        <v>5</v>
      </c>
      <c r="B17" s="27" t="s">
        <v>238</v>
      </c>
      <c r="C17" s="122">
        <v>45301</v>
      </c>
      <c r="D17" s="119"/>
      <c r="E17" s="122">
        <v>45301</v>
      </c>
      <c r="F17" s="119"/>
      <c r="G17" s="122">
        <v>45301</v>
      </c>
      <c r="H17" s="119"/>
    </row>
    <row r="19" spans="1:9" ht="40" customHeight="1" x14ac:dyDescent="0.35">
      <c r="A19" s="117" t="s">
        <v>4</v>
      </c>
      <c r="B19" s="117"/>
      <c r="C19" s="96" t="s">
        <v>215</v>
      </c>
      <c r="D19" s="96"/>
      <c r="E19" s="96" t="s">
        <v>252</v>
      </c>
      <c r="F19" s="96"/>
      <c r="G19" s="96" t="s">
        <v>209</v>
      </c>
      <c r="H19" s="96"/>
    </row>
    <row r="20" spans="1:9" x14ac:dyDescent="0.35">
      <c r="A20" s="29">
        <v>1</v>
      </c>
      <c r="B20" s="29" t="s">
        <v>5</v>
      </c>
      <c r="C20" s="29"/>
      <c r="D20" s="29" t="s">
        <v>6</v>
      </c>
      <c r="E20" s="29"/>
      <c r="F20" s="29" t="s">
        <v>6</v>
      </c>
      <c r="G20" s="29"/>
      <c r="H20" s="29" t="s">
        <v>6</v>
      </c>
    </row>
    <row r="21" spans="1:9" x14ac:dyDescent="0.35">
      <c r="A21" s="29" t="s">
        <v>0</v>
      </c>
      <c r="B21" s="27" t="s">
        <v>7</v>
      </c>
      <c r="C21" s="2"/>
      <c r="D21" s="3">
        <f>C15</f>
        <v>1629.62</v>
      </c>
      <c r="E21" s="2"/>
      <c r="F21" s="3">
        <f>E15</f>
        <v>1629.62</v>
      </c>
      <c r="G21" s="2"/>
      <c r="H21" s="3">
        <f>'Assitente Administrativo'!L7</f>
        <v>2864.6259999999997</v>
      </c>
      <c r="I21" t="s">
        <v>137</v>
      </c>
    </row>
    <row r="22" spans="1:9" x14ac:dyDescent="0.35">
      <c r="A22" s="29" t="s">
        <v>1</v>
      </c>
      <c r="B22" s="27" t="s">
        <v>96</v>
      </c>
      <c r="C22" s="2"/>
      <c r="D22" s="3"/>
      <c r="E22" s="2"/>
      <c r="F22" s="3"/>
      <c r="G22" s="2"/>
      <c r="H22" s="3"/>
      <c r="I22" t="s">
        <v>198</v>
      </c>
    </row>
    <row r="23" spans="1:9" x14ac:dyDescent="0.35">
      <c r="A23" s="29" t="s">
        <v>2</v>
      </c>
      <c r="B23" s="27" t="s">
        <v>212</v>
      </c>
      <c r="C23" s="2"/>
      <c r="D23" s="3">
        <f>1412*20%</f>
        <v>282.40000000000003</v>
      </c>
      <c r="E23" s="2"/>
      <c r="F23" s="3">
        <f>1412*20%</f>
        <v>282.40000000000003</v>
      </c>
      <c r="G23" s="2"/>
      <c r="H23" s="3">
        <f>1412*20%</f>
        <v>282.40000000000003</v>
      </c>
      <c r="I23" t="s">
        <v>210</v>
      </c>
    </row>
    <row r="24" spans="1:9" x14ac:dyDescent="0.35">
      <c r="A24" s="29" t="s">
        <v>3</v>
      </c>
      <c r="B24" s="27" t="s">
        <v>213</v>
      </c>
      <c r="C24" s="2"/>
      <c r="D24" s="3"/>
      <c r="E24" s="2"/>
      <c r="F24" s="3"/>
      <c r="G24" s="2"/>
      <c r="H24" s="3"/>
      <c r="I24" t="s">
        <v>211</v>
      </c>
    </row>
    <row r="25" spans="1:9" x14ac:dyDescent="0.35">
      <c r="A25" s="116" t="s">
        <v>9</v>
      </c>
      <c r="B25" s="116"/>
      <c r="C25" s="27"/>
      <c r="D25" s="4">
        <f>SUM(D21:D24)</f>
        <v>1912.02</v>
      </c>
      <c r="E25" s="27"/>
      <c r="F25" s="4">
        <f>SUM(F21:F24)</f>
        <v>1912.02</v>
      </c>
      <c r="G25" s="27"/>
      <c r="H25" s="4">
        <f>SUM(H21:H24)</f>
        <v>3147.0259999999998</v>
      </c>
    </row>
    <row r="27" spans="1:9" ht="15" customHeight="1" x14ac:dyDescent="0.35"/>
    <row r="28" spans="1:9" ht="40" customHeight="1" x14ac:dyDescent="0.35">
      <c r="A28" s="117" t="s">
        <v>10</v>
      </c>
      <c r="B28" s="117"/>
      <c r="C28" s="96" t="str">
        <f>$C$19</f>
        <v>Copeiragem (adicional de insalubridade)</v>
      </c>
      <c r="D28" s="96"/>
      <c r="E28" s="96" t="str">
        <f>$E$19</f>
        <v>Carregador (adicional de insalubridade)</v>
      </c>
      <c r="F28" s="96"/>
      <c r="G28" s="96" t="str">
        <f>$G$19</f>
        <v>Assistente Administrativo (adicional de insalubridade)</v>
      </c>
      <c r="H28" s="96"/>
    </row>
    <row r="29" spans="1:9" x14ac:dyDescent="0.35">
      <c r="A29" s="29" t="s">
        <v>11</v>
      </c>
      <c r="B29" s="29" t="s">
        <v>12</v>
      </c>
      <c r="C29" s="29" t="s">
        <v>13</v>
      </c>
      <c r="D29" s="29" t="s">
        <v>6</v>
      </c>
      <c r="E29" s="29" t="s">
        <v>13</v>
      </c>
      <c r="F29" s="29" t="s">
        <v>6</v>
      </c>
      <c r="G29" s="29" t="s">
        <v>13</v>
      </c>
      <c r="H29" s="29" t="s">
        <v>6</v>
      </c>
      <c r="I29" t="s">
        <v>138</v>
      </c>
    </row>
    <row r="30" spans="1:9" x14ac:dyDescent="0.35">
      <c r="A30" s="29" t="s">
        <v>0</v>
      </c>
      <c r="B30" s="27" t="s">
        <v>14</v>
      </c>
      <c r="C30" s="5">
        <f>1/12</f>
        <v>8.3333333333333329E-2</v>
      </c>
      <c r="D30" s="3">
        <f>ROUND(C30*D25,2)</f>
        <v>159.34</v>
      </c>
      <c r="E30" s="5">
        <f>1/12</f>
        <v>8.3333333333333329E-2</v>
      </c>
      <c r="F30" s="3">
        <f>ROUND(E30*F25,2)</f>
        <v>159.34</v>
      </c>
      <c r="G30" s="5">
        <f>1/12</f>
        <v>8.3333333333333329E-2</v>
      </c>
      <c r="H30" s="3">
        <f>ROUND(G30*H25,2)</f>
        <v>262.25</v>
      </c>
      <c r="I30" t="s">
        <v>139</v>
      </c>
    </row>
    <row r="31" spans="1:9" x14ac:dyDescent="0.35">
      <c r="A31" s="29" t="s">
        <v>1</v>
      </c>
      <c r="B31" s="27" t="s">
        <v>197</v>
      </c>
      <c r="C31" s="5">
        <f>(1/12)+(1/3/12)</f>
        <v>0.1111111111111111</v>
      </c>
      <c r="D31" s="3">
        <f>ROUND(C31*D25,2)</f>
        <v>212.45</v>
      </c>
      <c r="E31" s="5">
        <f>(1/12)+(1/3/12)</f>
        <v>0.1111111111111111</v>
      </c>
      <c r="F31" s="3">
        <f>ROUND(E31*F25,2)</f>
        <v>212.45</v>
      </c>
      <c r="G31" s="5">
        <f>(1/12)+(1/3/12)</f>
        <v>0.1111111111111111</v>
      </c>
      <c r="H31" s="3">
        <f>ROUND(G31*H25,2)</f>
        <v>349.67</v>
      </c>
    </row>
    <row r="32" spans="1:9" x14ac:dyDescent="0.35">
      <c r="A32" s="116" t="s">
        <v>9</v>
      </c>
      <c r="B32" s="116"/>
      <c r="C32" s="30">
        <f t="shared" ref="C32:D32" si="0">SUM(C30:C31)</f>
        <v>0.19444444444444442</v>
      </c>
      <c r="D32" s="4">
        <f t="shared" si="0"/>
        <v>371.78999999999996</v>
      </c>
      <c r="E32" s="30">
        <f t="shared" ref="E32:F32" si="1">SUM(E30:E31)</f>
        <v>0.19444444444444442</v>
      </c>
      <c r="F32" s="4">
        <f t="shared" si="1"/>
        <v>371.78999999999996</v>
      </c>
      <c r="G32" s="30">
        <f t="shared" ref="G32:H32" si="2">SUM(G30:G31)</f>
        <v>0.19444444444444442</v>
      </c>
      <c r="H32" s="4">
        <f t="shared" si="2"/>
        <v>611.92000000000007</v>
      </c>
    </row>
    <row r="34" spans="1:9" ht="15" customHeight="1" x14ac:dyDescent="0.35"/>
    <row r="35" spans="1:9" ht="40" customHeight="1" x14ac:dyDescent="0.35">
      <c r="A35" s="96" t="s">
        <v>15</v>
      </c>
      <c r="B35" s="96"/>
      <c r="C35" s="96" t="str">
        <f>$C$19</f>
        <v>Copeiragem (adicional de insalubridade)</v>
      </c>
      <c r="D35" s="96"/>
      <c r="E35" s="96" t="str">
        <f>$E$19</f>
        <v>Carregador (adicional de insalubridade)</v>
      </c>
      <c r="F35" s="96"/>
      <c r="G35" s="96" t="str">
        <f>$G$19</f>
        <v>Assistente Administrativo (adicional de insalubridade)</v>
      </c>
      <c r="H35" s="96"/>
    </row>
    <row r="36" spans="1:9" x14ac:dyDescent="0.35">
      <c r="A36" s="29" t="s">
        <v>16</v>
      </c>
      <c r="B36" s="29" t="s">
        <v>17</v>
      </c>
      <c r="C36" s="29" t="s">
        <v>13</v>
      </c>
      <c r="D36" s="29" t="s">
        <v>6</v>
      </c>
      <c r="E36" s="29" t="s">
        <v>13</v>
      </c>
      <c r="F36" s="29" t="s">
        <v>6</v>
      </c>
      <c r="G36" s="29" t="s">
        <v>13</v>
      </c>
      <c r="H36" s="29" t="s">
        <v>6</v>
      </c>
      <c r="I36" t="s">
        <v>140</v>
      </c>
    </row>
    <row r="37" spans="1:9" x14ac:dyDescent="0.35">
      <c r="A37" s="29" t="s">
        <v>0</v>
      </c>
      <c r="B37" s="27" t="s">
        <v>18</v>
      </c>
      <c r="C37" s="6">
        <v>0.2</v>
      </c>
      <c r="D37" s="3">
        <f t="shared" ref="D37:D44" si="3">(C37*($D$32+$D$25))</f>
        <v>456.762</v>
      </c>
      <c r="E37" s="6">
        <v>0.2</v>
      </c>
      <c r="F37" s="3">
        <f t="shared" ref="F37:F44" si="4">E37*($F$32+$F$25)</f>
        <v>456.762</v>
      </c>
      <c r="G37" s="6">
        <v>0.2</v>
      </c>
      <c r="H37" s="3">
        <f t="shared" ref="H37:H44" si="5">G37*($H$32+$H$25)</f>
        <v>751.78920000000005</v>
      </c>
      <c r="I37" t="s">
        <v>141</v>
      </c>
    </row>
    <row r="38" spans="1:9" x14ac:dyDescent="0.35">
      <c r="A38" s="29" t="s">
        <v>1</v>
      </c>
      <c r="B38" s="27" t="s">
        <v>19</v>
      </c>
      <c r="C38" s="6">
        <v>2.5000000000000001E-2</v>
      </c>
      <c r="D38" s="3">
        <f t="shared" si="3"/>
        <v>57.09525</v>
      </c>
      <c r="E38" s="6">
        <v>2.5000000000000001E-2</v>
      </c>
      <c r="F38" s="3">
        <f t="shared" si="4"/>
        <v>57.09525</v>
      </c>
      <c r="G38" s="6">
        <v>2.5000000000000001E-2</v>
      </c>
      <c r="H38" s="3">
        <f t="shared" si="5"/>
        <v>93.973650000000006</v>
      </c>
      <c r="I38" t="s">
        <v>142</v>
      </c>
    </row>
    <row r="39" spans="1:9" x14ac:dyDescent="0.35">
      <c r="A39" s="29" t="s">
        <v>2</v>
      </c>
      <c r="B39" s="27" t="s">
        <v>20</v>
      </c>
      <c r="C39" s="6">
        <v>0.03</v>
      </c>
      <c r="D39" s="3">
        <f t="shared" si="3"/>
        <v>68.514299999999992</v>
      </c>
      <c r="E39" s="6">
        <v>0.03</v>
      </c>
      <c r="F39" s="3">
        <f t="shared" si="4"/>
        <v>68.514299999999992</v>
      </c>
      <c r="G39" s="6">
        <v>0.03</v>
      </c>
      <c r="H39" s="3">
        <f t="shared" si="5"/>
        <v>112.76837999999999</v>
      </c>
      <c r="I39" t="s">
        <v>143</v>
      </c>
    </row>
    <row r="40" spans="1:9" x14ac:dyDescent="0.35">
      <c r="A40" s="29" t="s">
        <v>3</v>
      </c>
      <c r="B40" s="27" t="s">
        <v>21</v>
      </c>
      <c r="C40" s="6">
        <v>1.4999999999999999E-2</v>
      </c>
      <c r="D40" s="3">
        <f t="shared" si="3"/>
        <v>34.257149999999996</v>
      </c>
      <c r="E40" s="6">
        <v>1.4999999999999999E-2</v>
      </c>
      <c r="F40" s="3">
        <f t="shared" si="4"/>
        <v>34.257149999999996</v>
      </c>
      <c r="G40" s="6">
        <v>1.4999999999999999E-2</v>
      </c>
      <c r="H40" s="3">
        <f t="shared" si="5"/>
        <v>56.384189999999997</v>
      </c>
      <c r="I40" t="s">
        <v>144</v>
      </c>
    </row>
    <row r="41" spans="1:9" x14ac:dyDescent="0.35">
      <c r="A41" s="29" t="s">
        <v>22</v>
      </c>
      <c r="B41" s="27" t="s">
        <v>23</v>
      </c>
      <c r="C41" s="6">
        <v>0.01</v>
      </c>
      <c r="D41" s="3">
        <f t="shared" si="3"/>
        <v>22.838100000000001</v>
      </c>
      <c r="E41" s="6">
        <v>0.01</v>
      </c>
      <c r="F41" s="3">
        <f t="shared" si="4"/>
        <v>22.838100000000001</v>
      </c>
      <c r="G41" s="6">
        <v>0.01</v>
      </c>
      <c r="H41" s="3">
        <f t="shared" si="5"/>
        <v>37.589460000000003</v>
      </c>
      <c r="I41" t="s">
        <v>145</v>
      </c>
    </row>
    <row r="42" spans="1:9" x14ac:dyDescent="0.35">
      <c r="A42" s="29" t="s">
        <v>24</v>
      </c>
      <c r="B42" s="27" t="s">
        <v>25</v>
      </c>
      <c r="C42" s="6">
        <v>6.0000000000000001E-3</v>
      </c>
      <c r="D42" s="3">
        <f t="shared" si="3"/>
        <v>13.702859999999999</v>
      </c>
      <c r="E42" s="6">
        <v>6.0000000000000001E-3</v>
      </c>
      <c r="F42" s="3">
        <f t="shared" si="4"/>
        <v>13.702859999999999</v>
      </c>
      <c r="G42" s="6">
        <v>6.0000000000000001E-3</v>
      </c>
      <c r="H42" s="3">
        <f t="shared" si="5"/>
        <v>22.553675999999999</v>
      </c>
      <c r="I42" t="s">
        <v>146</v>
      </c>
    </row>
    <row r="43" spans="1:9" x14ac:dyDescent="0.35">
      <c r="A43" s="29" t="s">
        <v>26</v>
      </c>
      <c r="B43" s="27" t="s">
        <v>27</v>
      </c>
      <c r="C43" s="6">
        <v>2E-3</v>
      </c>
      <c r="D43" s="3">
        <f t="shared" si="3"/>
        <v>4.5676199999999998</v>
      </c>
      <c r="E43" s="6">
        <v>2E-3</v>
      </c>
      <c r="F43" s="3">
        <f t="shared" si="4"/>
        <v>4.5676199999999998</v>
      </c>
      <c r="G43" s="6">
        <v>2E-3</v>
      </c>
      <c r="H43" s="3">
        <f t="shared" si="5"/>
        <v>7.5178919999999998</v>
      </c>
      <c r="I43" t="s">
        <v>147</v>
      </c>
    </row>
    <row r="44" spans="1:9" x14ac:dyDescent="0.35">
      <c r="A44" s="29" t="s">
        <v>28</v>
      </c>
      <c r="B44" s="27" t="s">
        <v>29</v>
      </c>
      <c r="C44" s="6">
        <v>0.08</v>
      </c>
      <c r="D44" s="3">
        <f t="shared" si="3"/>
        <v>182.70480000000001</v>
      </c>
      <c r="E44" s="6">
        <v>0.08</v>
      </c>
      <c r="F44" s="3">
        <f t="shared" si="4"/>
        <v>182.70480000000001</v>
      </c>
      <c r="G44" s="6">
        <v>0.08</v>
      </c>
      <c r="H44" s="3">
        <f t="shared" si="5"/>
        <v>300.71568000000002</v>
      </c>
    </row>
    <row r="45" spans="1:9" x14ac:dyDescent="0.35">
      <c r="A45" s="116" t="s">
        <v>9</v>
      </c>
      <c r="B45" s="116"/>
      <c r="C45" s="6">
        <f>SUM(C37:C44)</f>
        <v>0.36800000000000005</v>
      </c>
      <c r="D45" s="4">
        <f>(ROUND(SUM(D37:D44),2))</f>
        <v>840.44</v>
      </c>
      <c r="E45" s="6">
        <f>SUM(E37:E44)</f>
        <v>0.36800000000000005</v>
      </c>
      <c r="F45" s="4">
        <f>(ROUND(SUM(F37:F44),2))</f>
        <v>840.44</v>
      </c>
      <c r="G45" s="6">
        <f>SUM(G37:G44)</f>
        <v>0.36800000000000005</v>
      </c>
      <c r="H45" s="4">
        <f>(ROUND(SUM(H37:H44),2))</f>
        <v>1383.29</v>
      </c>
    </row>
    <row r="47" spans="1:9" ht="15" customHeight="1" x14ac:dyDescent="0.35"/>
    <row r="48" spans="1:9" ht="40" customHeight="1" x14ac:dyDescent="0.35">
      <c r="A48" s="96" t="s">
        <v>30</v>
      </c>
      <c r="B48" s="96"/>
      <c r="C48" s="96" t="str">
        <f>$C$19</f>
        <v>Copeiragem (adicional de insalubridade)</v>
      </c>
      <c r="D48" s="96"/>
      <c r="E48" s="96" t="str">
        <f>$E$19</f>
        <v>Carregador (adicional de insalubridade)</v>
      </c>
      <c r="F48" s="96"/>
      <c r="G48" s="96" t="str">
        <f>$G$19</f>
        <v>Assistente Administrativo (adicional de insalubridade)</v>
      </c>
      <c r="H48" s="96"/>
    </row>
    <row r="49" spans="1:9" ht="29" x14ac:dyDescent="0.35">
      <c r="A49" s="29" t="s">
        <v>31</v>
      </c>
      <c r="B49" s="29" t="s">
        <v>32</v>
      </c>
      <c r="C49" s="20" t="s">
        <v>33</v>
      </c>
      <c r="D49" s="29" t="s">
        <v>6</v>
      </c>
      <c r="E49" s="20" t="s">
        <v>33</v>
      </c>
      <c r="F49" s="29" t="s">
        <v>6</v>
      </c>
      <c r="G49" s="20" t="s">
        <v>33</v>
      </c>
      <c r="H49" s="29" t="s">
        <v>6</v>
      </c>
      <c r="I49" t="s">
        <v>148</v>
      </c>
    </row>
    <row r="50" spans="1:9" x14ac:dyDescent="0.35">
      <c r="A50" s="29" t="s">
        <v>0</v>
      </c>
      <c r="B50" s="27" t="s">
        <v>34</v>
      </c>
      <c r="C50" s="31">
        <v>5.5</v>
      </c>
      <c r="D50" s="3">
        <f>ROUND(IF((C50*2*21)-(D21*6%)&gt;=0,(C50*2*21)-(D21*6%),0),2)</f>
        <v>133.22</v>
      </c>
      <c r="E50" s="31">
        <v>5.5</v>
      </c>
      <c r="F50" s="3">
        <f>ROUND(IF((E50*2*21)-(F21*6%)&gt;=0,(E50*2*21)-(F21*6%),0),2)</f>
        <v>133.22</v>
      </c>
      <c r="G50" s="31">
        <v>5.5</v>
      </c>
      <c r="H50" s="3">
        <f>ROUND(IF((G50*2*21)-(H21*6%)&gt;=0,(G50*2*21)-(H21*6%),0),2)</f>
        <v>59.12</v>
      </c>
    </row>
    <row r="51" spans="1:9" x14ac:dyDescent="0.35">
      <c r="A51" s="123" t="s">
        <v>1</v>
      </c>
      <c r="B51" s="124" t="s">
        <v>35</v>
      </c>
      <c r="C51" s="10" t="s">
        <v>36</v>
      </c>
      <c r="D51" s="3"/>
      <c r="E51" s="10" t="s">
        <v>36</v>
      </c>
      <c r="F51" s="3"/>
      <c r="G51" s="10" t="s">
        <v>36</v>
      </c>
      <c r="H51" s="3"/>
      <c r="I51" t="s">
        <v>149</v>
      </c>
    </row>
    <row r="52" spans="1:9" x14ac:dyDescent="0.35">
      <c r="A52" s="123"/>
      <c r="B52" s="124"/>
      <c r="C52" s="31">
        <v>42.2</v>
      </c>
      <c r="D52" s="3">
        <f>(C52*21)</f>
        <v>886.2</v>
      </c>
      <c r="E52" s="31">
        <v>42.2</v>
      </c>
      <c r="F52" s="3">
        <f>(E52*21)</f>
        <v>886.2</v>
      </c>
      <c r="G52" s="31">
        <v>42.2</v>
      </c>
      <c r="H52" s="3">
        <f>(G52*21)</f>
        <v>886.2</v>
      </c>
    </row>
    <row r="53" spans="1:9" x14ac:dyDescent="0.35">
      <c r="A53" s="29" t="s">
        <v>2</v>
      </c>
      <c r="B53" s="27" t="s">
        <v>8</v>
      </c>
      <c r="C53" s="6"/>
      <c r="D53" s="29"/>
      <c r="E53" s="6"/>
      <c r="F53" s="29"/>
      <c r="G53" s="6"/>
      <c r="H53" s="29"/>
    </row>
    <row r="54" spans="1:9" x14ac:dyDescent="0.35">
      <c r="A54" s="116" t="s">
        <v>9</v>
      </c>
      <c r="B54" s="116"/>
      <c r="C54" s="27"/>
      <c r="D54" s="4">
        <f>ROUND(SUM(D50:D53),2)</f>
        <v>1019.42</v>
      </c>
      <c r="E54" s="27"/>
      <c r="F54" s="4">
        <f>ROUND(SUM(F50:F53),2)</f>
        <v>1019.42</v>
      </c>
      <c r="G54" s="27"/>
      <c r="H54" s="4">
        <f>ROUND(SUM(H50:H53),2)</f>
        <v>945.32</v>
      </c>
    </row>
    <row r="56" spans="1:9" ht="15" customHeight="1" x14ac:dyDescent="0.35"/>
    <row r="57" spans="1:9" ht="40" customHeight="1" x14ac:dyDescent="0.35">
      <c r="A57" s="96" t="s">
        <v>37</v>
      </c>
      <c r="B57" s="96"/>
      <c r="C57" s="96" t="str">
        <f>$C$19</f>
        <v>Copeiragem (adicional de insalubridade)</v>
      </c>
      <c r="D57" s="96"/>
      <c r="E57" s="96" t="str">
        <f>$E$19</f>
        <v>Carregador (adicional de insalubridade)</v>
      </c>
      <c r="F57" s="96"/>
      <c r="G57" s="96" t="str">
        <f>$G$19</f>
        <v>Assistente Administrativo (adicional de insalubridade)</v>
      </c>
      <c r="H57" s="96"/>
    </row>
    <row r="58" spans="1:9" x14ac:dyDescent="0.35">
      <c r="A58" s="29">
        <v>2</v>
      </c>
      <c r="B58" s="29" t="s">
        <v>32</v>
      </c>
      <c r="C58" s="29"/>
      <c r="D58" s="29" t="s">
        <v>6</v>
      </c>
      <c r="E58" s="29"/>
      <c r="F58" s="29" t="s">
        <v>6</v>
      </c>
      <c r="G58" s="29"/>
      <c r="H58" s="29" t="s">
        <v>6</v>
      </c>
    </row>
    <row r="59" spans="1:9" x14ac:dyDescent="0.35">
      <c r="A59" s="29" t="s">
        <v>11</v>
      </c>
      <c r="B59" s="27" t="s">
        <v>38</v>
      </c>
      <c r="C59" s="6"/>
      <c r="D59" s="3">
        <f>D32</f>
        <v>371.78999999999996</v>
      </c>
      <c r="E59" s="7"/>
      <c r="F59" s="3">
        <f>F32</f>
        <v>371.78999999999996</v>
      </c>
      <c r="G59" s="7"/>
      <c r="H59" s="3">
        <f>H32</f>
        <v>611.92000000000007</v>
      </c>
    </row>
    <row r="60" spans="1:9" x14ac:dyDescent="0.35">
      <c r="A60" s="29" t="s">
        <v>16</v>
      </c>
      <c r="B60" s="27" t="s">
        <v>17</v>
      </c>
      <c r="C60" s="6"/>
      <c r="D60" s="28">
        <f>D45</f>
        <v>840.44</v>
      </c>
      <c r="E60" s="7"/>
      <c r="F60" s="28">
        <f>F45</f>
        <v>840.44</v>
      </c>
      <c r="G60" s="7"/>
      <c r="H60" s="28">
        <f>H45</f>
        <v>1383.29</v>
      </c>
    </row>
    <row r="61" spans="1:9" x14ac:dyDescent="0.35">
      <c r="A61" s="29" t="s">
        <v>31</v>
      </c>
      <c r="B61" s="27" t="s">
        <v>32</v>
      </c>
      <c r="C61" s="6"/>
      <c r="D61" s="28">
        <f>D54</f>
        <v>1019.42</v>
      </c>
      <c r="E61" s="7"/>
      <c r="F61" s="28">
        <f>F54</f>
        <v>1019.42</v>
      </c>
      <c r="G61" s="7"/>
      <c r="H61" s="28">
        <f>H54</f>
        <v>945.32</v>
      </c>
    </row>
    <row r="62" spans="1:9" x14ac:dyDescent="0.35">
      <c r="A62" s="116" t="s">
        <v>9</v>
      </c>
      <c r="B62" s="116"/>
      <c r="C62" s="27"/>
      <c r="D62" s="8">
        <f>SUM(D59:D61)</f>
        <v>2231.65</v>
      </c>
      <c r="E62" s="27"/>
      <c r="F62" s="4">
        <f>SUM(F59:F61)</f>
        <v>2231.65</v>
      </c>
      <c r="G62" s="27"/>
      <c r="H62" s="4">
        <f>SUM(H59:H61)</f>
        <v>2940.53</v>
      </c>
    </row>
    <row r="64" spans="1:9" ht="15" customHeight="1" x14ac:dyDescent="0.35"/>
    <row r="65" spans="1:9" ht="40" customHeight="1" x14ac:dyDescent="0.35">
      <c r="A65" s="96" t="s">
        <v>39</v>
      </c>
      <c r="B65" s="96"/>
      <c r="C65" s="96" t="str">
        <f>$C$19</f>
        <v>Copeiragem (adicional de insalubridade)</v>
      </c>
      <c r="D65" s="96"/>
      <c r="E65" s="96" t="str">
        <f>$E$19</f>
        <v>Carregador (adicional de insalubridade)</v>
      </c>
      <c r="F65" s="96"/>
      <c r="G65" s="96" t="str">
        <f>$G$19</f>
        <v>Assistente Administrativo (adicional de insalubridade)</v>
      </c>
      <c r="H65" s="96"/>
    </row>
    <row r="66" spans="1:9" x14ac:dyDescent="0.35">
      <c r="A66" s="29">
        <v>3</v>
      </c>
      <c r="B66" s="29" t="s">
        <v>40</v>
      </c>
      <c r="C66" s="29" t="s">
        <v>13</v>
      </c>
      <c r="D66" s="29" t="s">
        <v>6</v>
      </c>
      <c r="E66" s="29" t="s">
        <v>13</v>
      </c>
      <c r="F66" s="29" t="s">
        <v>6</v>
      </c>
      <c r="G66" s="29" t="s">
        <v>13</v>
      </c>
      <c r="H66" s="29" t="s">
        <v>6</v>
      </c>
      <c r="I66" t="s">
        <v>150</v>
      </c>
    </row>
    <row r="67" spans="1:9" x14ac:dyDescent="0.35">
      <c r="A67" s="29" t="s">
        <v>0</v>
      </c>
      <c r="B67" s="27" t="s">
        <v>41</v>
      </c>
      <c r="C67" s="5">
        <f>(1/12*5.55%)</f>
        <v>4.6249999999999998E-3</v>
      </c>
      <c r="D67" s="3">
        <f>ROUND(C67*D25,2)</f>
        <v>8.84</v>
      </c>
      <c r="E67" s="5">
        <f>(1/12*5.55%)</f>
        <v>4.6249999999999998E-3</v>
      </c>
      <c r="F67" s="3">
        <f>ROUND(E67*F25,2)</f>
        <v>8.84</v>
      </c>
      <c r="G67" s="5">
        <f>(1/12*5.55%)</f>
        <v>4.6249999999999998E-3</v>
      </c>
      <c r="H67" s="3">
        <f>ROUND(G67*H25,2)</f>
        <v>14.55</v>
      </c>
    </row>
    <row r="68" spans="1:9" x14ac:dyDescent="0.35">
      <c r="A68" s="29" t="s">
        <v>1</v>
      </c>
      <c r="B68" s="27" t="s">
        <v>42</v>
      </c>
      <c r="C68" s="5">
        <v>0.08</v>
      </c>
      <c r="D68" s="3">
        <f>C68*D67</f>
        <v>0.70720000000000005</v>
      </c>
      <c r="E68" s="5">
        <v>0.08</v>
      </c>
      <c r="F68" s="3">
        <f>E68*F67</f>
        <v>0.70720000000000005</v>
      </c>
      <c r="G68" s="5">
        <v>0.08</v>
      </c>
      <c r="H68" s="3">
        <f>G68*H67</f>
        <v>1.1640000000000001</v>
      </c>
      <c r="I68" t="s">
        <v>151</v>
      </c>
    </row>
    <row r="69" spans="1:9" x14ac:dyDescent="0.35">
      <c r="A69" s="29" t="s">
        <v>2</v>
      </c>
      <c r="B69" s="27" t="s">
        <v>43</v>
      </c>
      <c r="C69" s="5">
        <f>(7/30)/12</f>
        <v>1.9444444444444445E-2</v>
      </c>
      <c r="D69" s="3">
        <f>C69*D25</f>
        <v>37.178166666666669</v>
      </c>
      <c r="E69" s="5">
        <f>(7/30)/12</f>
        <v>1.9444444444444445E-2</v>
      </c>
      <c r="F69" s="3">
        <f>E69*F25</f>
        <v>37.178166666666669</v>
      </c>
      <c r="G69" s="5">
        <f>(7/30)/12</f>
        <v>1.9444444444444445E-2</v>
      </c>
      <c r="H69" s="3">
        <f>G69*H25</f>
        <v>61.192172222222219</v>
      </c>
    </row>
    <row r="70" spans="1:9" x14ac:dyDescent="0.35">
      <c r="A70" s="32" t="s">
        <v>3</v>
      </c>
      <c r="B70" s="9" t="s">
        <v>44</v>
      </c>
      <c r="C70" s="5">
        <f>C45</f>
        <v>0.36800000000000005</v>
      </c>
      <c r="D70" s="3">
        <f>C70*D69</f>
        <v>13.681565333333337</v>
      </c>
      <c r="E70" s="5">
        <f>E45</f>
        <v>0.36800000000000005</v>
      </c>
      <c r="F70" s="3">
        <f>E70*F69</f>
        <v>13.681565333333337</v>
      </c>
      <c r="G70" s="5">
        <f>G45</f>
        <v>0.36800000000000005</v>
      </c>
      <c r="H70" s="3">
        <f>G70*H69</f>
        <v>22.518719377777778</v>
      </c>
      <c r="I70" t="s">
        <v>152</v>
      </c>
    </row>
    <row r="71" spans="1:9" x14ac:dyDescent="0.35">
      <c r="A71" s="29" t="s">
        <v>22</v>
      </c>
      <c r="B71" s="27" t="s">
        <v>45</v>
      </c>
      <c r="C71" s="5">
        <v>0.04</v>
      </c>
      <c r="D71" s="3">
        <f>C71*D25</f>
        <v>76.480800000000002</v>
      </c>
      <c r="E71" s="5">
        <v>0.04</v>
      </c>
      <c r="F71" s="3">
        <f>E71*F25</f>
        <v>76.480800000000002</v>
      </c>
      <c r="G71" s="5">
        <v>0.04</v>
      </c>
      <c r="H71" s="3">
        <f>G71*H25</f>
        <v>125.88104</v>
      </c>
    </row>
    <row r="72" spans="1:9" x14ac:dyDescent="0.35">
      <c r="A72" s="116" t="s">
        <v>9</v>
      </c>
      <c r="B72" s="116"/>
      <c r="C72" s="27"/>
      <c r="D72" s="4">
        <f>ROUND(SUM(D67:D71),2)</f>
        <v>136.88999999999999</v>
      </c>
      <c r="E72" s="27"/>
      <c r="F72" s="4">
        <f>ROUND(SUM(F67:F71),2)</f>
        <v>136.88999999999999</v>
      </c>
      <c r="G72" s="27"/>
      <c r="H72" s="4">
        <f>ROUND(SUM(H67:H71),2)</f>
        <v>225.31</v>
      </c>
    </row>
    <row r="74" spans="1:9" ht="15" customHeight="1" x14ac:dyDescent="0.35"/>
    <row r="75" spans="1:9" ht="40" customHeight="1" x14ac:dyDescent="0.35">
      <c r="A75" s="96" t="s">
        <v>97</v>
      </c>
      <c r="B75" s="96"/>
      <c r="C75" s="96" t="str">
        <f>$C$19</f>
        <v>Copeiragem (adicional de insalubridade)</v>
      </c>
      <c r="D75" s="96"/>
      <c r="E75" s="96" t="str">
        <f>$E$19</f>
        <v>Carregador (adicional de insalubridade)</v>
      </c>
      <c r="F75" s="96"/>
      <c r="G75" s="96" t="str">
        <f>$G$19</f>
        <v>Assistente Administrativo (adicional de insalubridade)</v>
      </c>
      <c r="H75" s="96"/>
    </row>
    <row r="76" spans="1:9" x14ac:dyDescent="0.35">
      <c r="A76" s="29" t="s">
        <v>46</v>
      </c>
      <c r="B76" s="29" t="s">
        <v>98</v>
      </c>
      <c r="C76" s="29" t="s">
        <v>13</v>
      </c>
      <c r="D76" s="29" t="s">
        <v>6</v>
      </c>
      <c r="E76" s="29" t="s">
        <v>13</v>
      </c>
      <c r="F76" s="29" t="s">
        <v>6</v>
      </c>
      <c r="G76" s="29" t="s">
        <v>13</v>
      </c>
      <c r="H76" s="29" t="s">
        <v>6</v>
      </c>
      <c r="I76" t="s">
        <v>153</v>
      </c>
    </row>
    <row r="77" spans="1:9" x14ac:dyDescent="0.35">
      <c r="A77" s="29" t="s">
        <v>0</v>
      </c>
      <c r="B77" s="27" t="s">
        <v>47</v>
      </c>
      <c r="C77" s="5">
        <f>12.1%-C31</f>
        <v>9.8888888888888915E-3</v>
      </c>
      <c r="D77" s="3">
        <f t="shared" ref="D77:D82" si="6">C77*($D$25+$D$59+$D$60+$D$72)</f>
        <v>32.249051111111122</v>
      </c>
      <c r="E77" s="5">
        <f>12.1%-E31</f>
        <v>9.8888888888888915E-3</v>
      </c>
      <c r="F77" s="3">
        <f>E77*($F$25+$F$59+$F$60+$F$72)</f>
        <v>32.249051111111122</v>
      </c>
      <c r="G77" s="5">
        <f>12.1%-G31</f>
        <v>9.8888888888888915E-3</v>
      </c>
      <c r="H77" s="3">
        <f t="shared" ref="H77:H82" si="7">G77*($H$25+$H$59+$H$60+$H$72)</f>
        <v>53.079066000000019</v>
      </c>
      <c r="I77" t="s">
        <v>154</v>
      </c>
    </row>
    <row r="78" spans="1:9" x14ac:dyDescent="0.35">
      <c r="A78" s="29" t="s">
        <v>1</v>
      </c>
      <c r="B78" s="27" t="s">
        <v>48</v>
      </c>
      <c r="C78" s="5">
        <f>(5.96/30)/12</f>
        <v>1.6555555555555556E-2</v>
      </c>
      <c r="D78" s="3">
        <f t="shared" si="6"/>
        <v>53.989984444444445</v>
      </c>
      <c r="E78" s="5">
        <f>(5.96/30)/12</f>
        <v>1.6555555555555556E-2</v>
      </c>
      <c r="F78" s="3">
        <f>E78*($H$25+$H$59+$H$60+$H$72)</f>
        <v>88.862706000000003</v>
      </c>
      <c r="G78" s="5">
        <f>(5.96/30)/12</f>
        <v>1.6555555555555556E-2</v>
      </c>
      <c r="H78" s="3">
        <f t="shared" si="7"/>
        <v>88.862706000000003</v>
      </c>
      <c r="I78" t="s">
        <v>155</v>
      </c>
    </row>
    <row r="79" spans="1:9" ht="15" customHeight="1" x14ac:dyDescent="0.35">
      <c r="A79" s="29" t="s">
        <v>2</v>
      </c>
      <c r="B79" s="27" t="s">
        <v>49</v>
      </c>
      <c r="C79" s="5">
        <f>((5/30)/12)*0.015</f>
        <v>2.0833333333333332E-4</v>
      </c>
      <c r="D79" s="3">
        <f t="shared" si="6"/>
        <v>0.67940416666666659</v>
      </c>
      <c r="E79" s="5">
        <f>((5/30)/12)*0.015</f>
        <v>2.0833333333333332E-4</v>
      </c>
      <c r="F79" s="3">
        <f>E79*($F$25+$F$59+$F$60+$F$72)</f>
        <v>0.67940416666666659</v>
      </c>
      <c r="G79" s="5">
        <f>((5/30)/12)*0.015</f>
        <v>2.0833333333333332E-4</v>
      </c>
      <c r="H79" s="3">
        <f t="shared" si="7"/>
        <v>1.1182387499999999</v>
      </c>
      <c r="I79" t="s">
        <v>136</v>
      </c>
    </row>
    <row r="80" spans="1:9" ht="15" customHeight="1" x14ac:dyDescent="0.35">
      <c r="A80" s="32" t="s">
        <v>3</v>
      </c>
      <c r="B80" s="9" t="s">
        <v>50</v>
      </c>
      <c r="C80" s="5">
        <f>(15/360)*0.44%</f>
        <v>1.8333333333333334E-4</v>
      </c>
      <c r="D80" s="3">
        <f t="shared" si="6"/>
        <v>0.59787566666666669</v>
      </c>
      <c r="E80" s="5">
        <f>(15/360)*0.44%</f>
        <v>1.8333333333333334E-4</v>
      </c>
      <c r="F80" s="3">
        <f>E80*($F$25+$F$59+$F$60+$F$72)</f>
        <v>0.59787566666666669</v>
      </c>
      <c r="G80" s="5">
        <f>(15/360)*0.44%</f>
        <v>1.8333333333333334E-4</v>
      </c>
      <c r="H80" s="3">
        <f t="shared" si="7"/>
        <v>0.98405010000000004</v>
      </c>
      <c r="I80" t="s">
        <v>156</v>
      </c>
    </row>
    <row r="81" spans="1:8" x14ac:dyDescent="0.35">
      <c r="A81" s="32" t="s">
        <v>22</v>
      </c>
      <c r="B81" s="9" t="s">
        <v>51</v>
      </c>
      <c r="C81" s="5">
        <f>50%*(4/12)*1.5%*(8.33%+11.11%)</f>
        <v>4.8599999999999989E-4</v>
      </c>
      <c r="D81" s="3">
        <f t="shared" si="6"/>
        <v>1.5849140399999995</v>
      </c>
      <c r="E81" s="5">
        <f>50%*(4/12)*1.5%*(8.33%+11.11%)</f>
        <v>4.8599999999999989E-4</v>
      </c>
      <c r="F81" s="3">
        <f>E81*($F$25+$F$59+$F$60+$F$72)</f>
        <v>1.5849140399999995</v>
      </c>
      <c r="G81" s="5">
        <f>50%*(4/12)*1.5%*(8.33%+11.11%)</f>
        <v>4.8599999999999989E-4</v>
      </c>
      <c r="H81" s="3">
        <f t="shared" si="7"/>
        <v>2.6086273559999995</v>
      </c>
    </row>
    <row r="82" spans="1:8" x14ac:dyDescent="0.35">
      <c r="A82" s="29" t="s">
        <v>24</v>
      </c>
      <c r="B82" s="27" t="s">
        <v>52</v>
      </c>
      <c r="C82" s="6"/>
      <c r="D82" s="3">
        <f t="shared" si="6"/>
        <v>0</v>
      </c>
      <c r="E82" s="6"/>
      <c r="F82" s="3">
        <f>E82*($H$25+$H$59+$H$60+$H$72)</f>
        <v>0</v>
      </c>
      <c r="G82" s="6"/>
      <c r="H82" s="3">
        <f t="shared" si="7"/>
        <v>0</v>
      </c>
    </row>
    <row r="83" spans="1:8" x14ac:dyDescent="0.35">
      <c r="A83" s="116" t="s">
        <v>9</v>
      </c>
      <c r="B83" s="116"/>
      <c r="C83" s="27"/>
      <c r="D83" s="4">
        <f>ROUND(SUM(D77:D82),2)</f>
        <v>89.1</v>
      </c>
      <c r="E83" s="27"/>
      <c r="F83" s="4">
        <f>ROUND(SUM(F77:F82),2)</f>
        <v>123.97</v>
      </c>
      <c r="G83" s="27"/>
      <c r="H83" s="4">
        <f>ROUND(SUM(H77:H82),2)</f>
        <v>146.65</v>
      </c>
    </row>
    <row r="85" spans="1:8" ht="15" customHeight="1" x14ac:dyDescent="0.35"/>
    <row r="86" spans="1:8" ht="40" customHeight="1" x14ac:dyDescent="0.35">
      <c r="A86" s="96" t="s">
        <v>53</v>
      </c>
      <c r="B86" s="96"/>
      <c r="C86" s="96" t="str">
        <f>$C$19</f>
        <v>Copeiragem (adicional de insalubridade)</v>
      </c>
      <c r="D86" s="96"/>
      <c r="E86" s="96" t="str">
        <f>$E$19</f>
        <v>Carregador (adicional de insalubridade)</v>
      </c>
      <c r="F86" s="96"/>
      <c r="G86" s="96" t="str">
        <f>$G$19</f>
        <v>Assistente Administrativo (adicional de insalubridade)</v>
      </c>
      <c r="H86" s="96"/>
    </row>
    <row r="87" spans="1:8" x14ac:dyDescent="0.35">
      <c r="A87" s="29" t="s">
        <v>54</v>
      </c>
      <c r="B87" s="29" t="s">
        <v>58</v>
      </c>
      <c r="C87" s="29"/>
      <c r="D87" s="29" t="s">
        <v>6</v>
      </c>
      <c r="E87" s="29"/>
      <c r="F87" s="29" t="s">
        <v>6</v>
      </c>
      <c r="G87" s="29"/>
      <c r="H87" s="29" t="s">
        <v>6</v>
      </c>
    </row>
    <row r="88" spans="1:8" ht="29" x14ac:dyDescent="0.35">
      <c r="A88" s="29" t="s">
        <v>0</v>
      </c>
      <c r="B88" s="9" t="s">
        <v>55</v>
      </c>
      <c r="C88" s="10"/>
      <c r="D88" s="3">
        <v>0</v>
      </c>
      <c r="E88" s="7"/>
      <c r="F88" s="3">
        <v>0</v>
      </c>
      <c r="G88" s="7"/>
      <c r="H88" s="3">
        <v>0</v>
      </c>
    </row>
    <row r="89" spans="1:8" x14ac:dyDescent="0.35">
      <c r="A89" s="116" t="s">
        <v>9</v>
      </c>
      <c r="B89" s="116"/>
      <c r="C89" s="27"/>
      <c r="D89" s="4">
        <f>SUM(D88:D88)</f>
        <v>0</v>
      </c>
      <c r="E89" s="27"/>
      <c r="F89" s="4">
        <f>SUM(F88:F88)</f>
        <v>0</v>
      </c>
      <c r="G89" s="27"/>
      <c r="H89" s="4">
        <f>SUM(H88:H88)</f>
        <v>0</v>
      </c>
    </row>
    <row r="91" spans="1:8" ht="15" customHeight="1" x14ac:dyDescent="0.35"/>
    <row r="92" spans="1:8" ht="40" customHeight="1" x14ac:dyDescent="0.35">
      <c r="A92" s="96" t="s">
        <v>56</v>
      </c>
      <c r="B92" s="96"/>
      <c r="C92" s="96" t="str">
        <f>$C$19</f>
        <v>Copeiragem (adicional de insalubridade)</v>
      </c>
      <c r="D92" s="96"/>
      <c r="E92" s="96" t="str">
        <f>$E$19</f>
        <v>Carregador (adicional de insalubridade)</v>
      </c>
      <c r="F92" s="96"/>
      <c r="G92" s="96" t="str">
        <f>$G$19</f>
        <v>Assistente Administrativo (adicional de insalubridade)</v>
      </c>
      <c r="H92" s="96"/>
    </row>
    <row r="93" spans="1:8" x14ac:dyDescent="0.35">
      <c r="A93" s="29">
        <v>4</v>
      </c>
      <c r="B93" s="29" t="s">
        <v>99</v>
      </c>
      <c r="C93" s="29"/>
      <c r="D93" s="29" t="s">
        <v>6</v>
      </c>
      <c r="E93" s="29"/>
      <c r="F93" s="29" t="s">
        <v>6</v>
      </c>
      <c r="G93" s="29"/>
      <c r="H93" s="29" t="s">
        <v>6</v>
      </c>
    </row>
    <row r="94" spans="1:8" x14ac:dyDescent="0.35">
      <c r="A94" s="29" t="s">
        <v>46</v>
      </c>
      <c r="B94" s="27" t="s">
        <v>57</v>
      </c>
      <c r="C94" s="6"/>
      <c r="D94" s="28">
        <f>D83</f>
        <v>89.1</v>
      </c>
      <c r="E94" s="7"/>
      <c r="F94" s="28">
        <f>F83</f>
        <v>123.97</v>
      </c>
      <c r="G94" s="7"/>
      <c r="H94" s="28">
        <f>H83</f>
        <v>146.65</v>
      </c>
    </row>
    <row r="95" spans="1:8" x14ac:dyDescent="0.35">
      <c r="A95" s="29" t="s">
        <v>54</v>
      </c>
      <c r="B95" s="27" t="s">
        <v>58</v>
      </c>
      <c r="C95" s="6"/>
      <c r="D95" s="28">
        <f>D89</f>
        <v>0</v>
      </c>
      <c r="E95" s="7"/>
      <c r="F95" s="28">
        <f>F89</f>
        <v>0</v>
      </c>
      <c r="G95" s="7"/>
      <c r="H95" s="28">
        <f>H89</f>
        <v>0</v>
      </c>
    </row>
    <row r="96" spans="1:8" x14ac:dyDescent="0.35">
      <c r="A96" s="116" t="s">
        <v>9</v>
      </c>
      <c r="B96" s="116"/>
      <c r="C96" s="27"/>
      <c r="D96" s="4">
        <f>ROUND(SUM(D94:D95),2)</f>
        <v>89.1</v>
      </c>
      <c r="E96" s="27"/>
      <c r="F96" s="4">
        <f>ROUND(SUM(F94:F95),2)</f>
        <v>123.97</v>
      </c>
      <c r="G96" s="27"/>
      <c r="H96" s="4">
        <f>ROUND(SUM(H94:H95),2)</f>
        <v>146.65</v>
      </c>
    </row>
    <row r="98" spans="1:9" ht="15" customHeight="1" x14ac:dyDescent="0.35"/>
    <row r="99" spans="1:9" ht="40" customHeight="1" x14ac:dyDescent="0.35">
      <c r="A99" s="96" t="s">
        <v>59</v>
      </c>
      <c r="B99" s="96"/>
      <c r="C99" s="96" t="str">
        <f>$C$19</f>
        <v>Copeiragem (adicional de insalubridade)</v>
      </c>
      <c r="D99" s="96"/>
      <c r="E99" s="96" t="str">
        <f>$E$19</f>
        <v>Carregador (adicional de insalubridade)</v>
      </c>
      <c r="F99" s="96"/>
      <c r="G99" s="96" t="str">
        <f>$G$19</f>
        <v>Assistente Administrativo (adicional de insalubridade)</v>
      </c>
      <c r="H99" s="96"/>
    </row>
    <row r="100" spans="1:9" x14ac:dyDescent="0.35">
      <c r="A100" s="29">
        <v>5</v>
      </c>
      <c r="B100" s="29" t="s">
        <v>60</v>
      </c>
      <c r="C100" s="29"/>
      <c r="D100" s="29" t="s">
        <v>6</v>
      </c>
      <c r="E100" s="29"/>
      <c r="F100" s="29" t="s">
        <v>6</v>
      </c>
      <c r="G100" s="29"/>
      <c r="H100" s="29" t="s">
        <v>6</v>
      </c>
    </row>
    <row r="101" spans="1:9" x14ac:dyDescent="0.35">
      <c r="A101" s="29" t="s">
        <v>0</v>
      </c>
      <c r="B101" s="27" t="s">
        <v>273</v>
      </c>
      <c r="C101" s="6"/>
      <c r="D101" s="28">
        <f>Uniformes!B10</f>
        <v>78.349999999999994</v>
      </c>
      <c r="E101" s="7"/>
      <c r="F101" s="28">
        <f>Uniformes!B26</f>
        <v>163.51600000000002</v>
      </c>
      <c r="G101" s="7"/>
      <c r="H101" s="28"/>
    </row>
    <row r="102" spans="1:9" x14ac:dyDescent="0.35">
      <c r="A102" s="29" t="s">
        <v>1</v>
      </c>
      <c r="B102" s="27" t="s">
        <v>61</v>
      </c>
      <c r="C102" s="6"/>
      <c r="D102" s="83">
        <f>Mat_Ins_Copeiragem!L56</f>
        <v>973.40577777777764</v>
      </c>
      <c r="E102" s="7"/>
      <c r="F102" s="29"/>
      <c r="G102" s="7"/>
      <c r="H102" s="29"/>
    </row>
    <row r="103" spans="1:9" x14ac:dyDescent="0.35">
      <c r="A103" s="29" t="s">
        <v>2</v>
      </c>
      <c r="B103" s="27" t="s">
        <v>62</v>
      </c>
      <c r="C103" s="6"/>
      <c r="D103" s="29"/>
      <c r="E103" s="7"/>
      <c r="F103" s="29"/>
      <c r="G103" s="7"/>
      <c r="H103" s="29"/>
    </row>
    <row r="104" spans="1:9" x14ac:dyDescent="0.35">
      <c r="A104" s="32" t="s">
        <v>3</v>
      </c>
      <c r="B104" s="9" t="s">
        <v>8</v>
      </c>
      <c r="C104" s="6"/>
      <c r="D104" s="29"/>
      <c r="E104" s="7"/>
      <c r="F104" s="29"/>
      <c r="G104" s="7"/>
      <c r="H104" s="29"/>
    </row>
    <row r="105" spans="1:9" x14ac:dyDescent="0.35">
      <c r="A105" s="116" t="s">
        <v>9</v>
      </c>
      <c r="B105" s="116"/>
      <c r="C105" s="27"/>
      <c r="D105" s="4">
        <f>ROUND(SUM(D101:D104),2)</f>
        <v>1051.76</v>
      </c>
      <c r="E105" s="27"/>
      <c r="F105" s="4">
        <f>ROUND(SUM(F101:F104),2)</f>
        <v>163.52000000000001</v>
      </c>
      <c r="G105" s="27"/>
      <c r="H105" s="4">
        <f>ROUND(SUM(H101:H104),2)</f>
        <v>0</v>
      </c>
    </row>
    <row r="107" spans="1:9" ht="15" customHeight="1" x14ac:dyDescent="0.35"/>
    <row r="108" spans="1:9" ht="40" customHeight="1" x14ac:dyDescent="0.35">
      <c r="A108" s="96" t="s">
        <v>63</v>
      </c>
      <c r="B108" s="96"/>
      <c r="C108" s="96" t="str">
        <f>$C$19</f>
        <v>Copeiragem (adicional de insalubridade)</v>
      </c>
      <c r="D108" s="96"/>
      <c r="E108" s="96" t="str">
        <f>$E$19</f>
        <v>Carregador (adicional de insalubridade)</v>
      </c>
      <c r="F108" s="96"/>
      <c r="G108" s="96" t="str">
        <f>$G$19</f>
        <v>Assistente Administrativo (adicional de insalubridade)</v>
      </c>
      <c r="H108" s="96"/>
    </row>
    <row r="109" spans="1:9" x14ac:dyDescent="0.35">
      <c r="A109" s="29">
        <v>6</v>
      </c>
      <c r="B109" s="29" t="s">
        <v>100</v>
      </c>
      <c r="C109" s="29" t="s">
        <v>13</v>
      </c>
      <c r="D109" s="29" t="s">
        <v>6</v>
      </c>
      <c r="E109" s="29" t="s">
        <v>13</v>
      </c>
      <c r="F109" s="29" t="s">
        <v>6</v>
      </c>
      <c r="G109" s="29" t="s">
        <v>13</v>
      </c>
      <c r="H109" s="29" t="s">
        <v>6</v>
      </c>
      <c r="I109" t="s">
        <v>137</v>
      </c>
    </row>
    <row r="110" spans="1:9" x14ac:dyDescent="0.35">
      <c r="A110" s="29" t="s">
        <v>0</v>
      </c>
      <c r="B110" s="27" t="s">
        <v>64</v>
      </c>
      <c r="C110" s="5">
        <f>ROUND(LDI!$B$10,2)</f>
        <v>0.01</v>
      </c>
      <c r="D110" s="28">
        <f>ROUND(D125*C110,2)</f>
        <v>54.21</v>
      </c>
      <c r="E110" s="5">
        <f>ROUND(LDI!$B$10,2)</f>
        <v>0.01</v>
      </c>
      <c r="F110" s="28">
        <f>ROUND(F125*E110,2)</f>
        <v>45.68</v>
      </c>
      <c r="G110" s="5">
        <f>ROUND(LDI!$B$10,2)</f>
        <v>0.01</v>
      </c>
      <c r="H110" s="28">
        <f>ROUND(H125*G110,2)</f>
        <v>64.599999999999994</v>
      </c>
      <c r="I110" t="s">
        <v>393</v>
      </c>
    </row>
    <row r="111" spans="1:9" x14ac:dyDescent="0.35">
      <c r="A111" s="29" t="s">
        <v>1</v>
      </c>
      <c r="B111" s="27" t="s">
        <v>65</v>
      </c>
      <c r="C111" s="5">
        <v>0.1</v>
      </c>
      <c r="D111" s="28">
        <f>ROUND((D125+D110)*C111,2)</f>
        <v>547.55999999999995</v>
      </c>
      <c r="E111" s="5">
        <v>0.1</v>
      </c>
      <c r="F111" s="28">
        <f>ROUND((F125+F110)*E111,2)</f>
        <v>461.37</v>
      </c>
      <c r="G111" s="5">
        <v>0.1</v>
      </c>
      <c r="H111" s="28">
        <f>ROUND((H125+H110)*G111,2)</f>
        <v>652.41</v>
      </c>
    </row>
    <row r="112" spans="1:9" x14ac:dyDescent="0.35">
      <c r="A112" s="29" t="s">
        <v>2</v>
      </c>
      <c r="B112" s="27" t="s">
        <v>66</v>
      </c>
      <c r="C112" s="5">
        <f t="shared" ref="C112:D112" si="8">SUM(C113:C115)</f>
        <v>0.14250000000000002</v>
      </c>
      <c r="D112" s="28">
        <f t="shared" si="8"/>
        <v>1000.94</v>
      </c>
      <c r="E112" s="5">
        <f t="shared" ref="E112:F112" si="9">SUM(E113:E115)</f>
        <v>0.14250000000000002</v>
      </c>
      <c r="F112" s="28">
        <f t="shared" si="9"/>
        <v>843.37000000000012</v>
      </c>
      <c r="G112" s="5">
        <f t="shared" ref="G112:H112" si="10">SUM(G113:G115)</f>
        <v>0.14250000000000002</v>
      </c>
      <c r="H112" s="28">
        <f t="shared" si="10"/>
        <v>1192.5999999999999</v>
      </c>
      <c r="I112" t="s">
        <v>173</v>
      </c>
    </row>
    <row r="113" spans="1:9" x14ac:dyDescent="0.35">
      <c r="A113" s="32" t="s">
        <v>67</v>
      </c>
      <c r="B113" s="9" t="s">
        <v>68</v>
      </c>
      <c r="C113" s="5">
        <v>1.6500000000000001E-2</v>
      </c>
      <c r="D113" s="28">
        <f>ROUND(C113*D127,2)</f>
        <v>115.9</v>
      </c>
      <c r="E113" s="5">
        <v>1.6500000000000001E-2</v>
      </c>
      <c r="F113" s="28">
        <f>ROUND(E113*F127,2)</f>
        <v>97.65</v>
      </c>
      <c r="G113" s="5">
        <v>1.6500000000000001E-2</v>
      </c>
      <c r="H113" s="28">
        <f>ROUND(G113*H127,2)</f>
        <v>138.09</v>
      </c>
      <c r="I113" t="s">
        <v>174</v>
      </c>
    </row>
    <row r="114" spans="1:9" x14ac:dyDescent="0.35">
      <c r="A114" s="32" t="s">
        <v>69</v>
      </c>
      <c r="B114" s="9" t="s">
        <v>70</v>
      </c>
      <c r="C114" s="5">
        <v>7.5999999999999998E-2</v>
      </c>
      <c r="D114" s="28">
        <f>ROUND(C114*D127,2)</f>
        <v>533.83000000000004</v>
      </c>
      <c r="E114" s="5">
        <v>7.5999999999999998E-2</v>
      </c>
      <c r="F114" s="28">
        <f>ROUND(E114*F127,2)</f>
        <v>449.8</v>
      </c>
      <c r="G114" s="5">
        <v>7.5999999999999998E-2</v>
      </c>
      <c r="H114" s="28">
        <f>ROUND(G114*H127,2)</f>
        <v>636.04999999999995</v>
      </c>
      <c r="I114" t="s">
        <v>175</v>
      </c>
    </row>
    <row r="115" spans="1:9" x14ac:dyDescent="0.35">
      <c r="A115" s="29" t="s">
        <v>71</v>
      </c>
      <c r="B115" s="27" t="s">
        <v>72</v>
      </c>
      <c r="C115" s="5">
        <v>0.05</v>
      </c>
      <c r="D115" s="28">
        <f>ROUND(C115*D127,2)</f>
        <v>351.21</v>
      </c>
      <c r="E115" s="5">
        <v>0.05</v>
      </c>
      <c r="F115" s="28">
        <f>ROUND(E115*F127,2)</f>
        <v>295.92</v>
      </c>
      <c r="G115" s="5">
        <v>0.05</v>
      </c>
      <c r="H115" s="28">
        <f>ROUND(G115*H127,2)</f>
        <v>418.46</v>
      </c>
    </row>
    <row r="116" spans="1:9" x14ac:dyDescent="0.35">
      <c r="A116" s="116" t="s">
        <v>9</v>
      </c>
      <c r="B116" s="116"/>
      <c r="C116" s="27"/>
      <c r="D116" s="4">
        <f>ROUND(SUM(D110+D111+D112),2)</f>
        <v>1602.71</v>
      </c>
      <c r="E116" s="27"/>
      <c r="F116" s="4">
        <f>ROUND(SUM(F110+F111+F112),2)</f>
        <v>1350.42</v>
      </c>
      <c r="G116" s="27"/>
      <c r="H116" s="4">
        <f>ROUND(SUM(H110+H111+H112),2)</f>
        <v>1909.61</v>
      </c>
    </row>
    <row r="117" spans="1:9" ht="15" customHeight="1" x14ac:dyDescent="0.35">
      <c r="A117" s="33"/>
      <c r="B117" s="33"/>
      <c r="D117" s="11"/>
      <c r="F117" s="11"/>
      <c r="H117" s="11"/>
    </row>
    <row r="118" spans="1:9" ht="40" customHeight="1" x14ac:dyDescent="0.35">
      <c r="A118" s="96" t="s">
        <v>73</v>
      </c>
      <c r="B118" s="96"/>
      <c r="C118" s="96" t="str">
        <f>$C$19</f>
        <v>Copeiragem (adicional de insalubridade)</v>
      </c>
      <c r="D118" s="96"/>
      <c r="E118" s="96" t="str">
        <f>$E$19</f>
        <v>Carregador (adicional de insalubridade)</v>
      </c>
      <c r="F118" s="96"/>
      <c r="G118" s="96" t="str">
        <f>$G$19</f>
        <v>Assistente Administrativo (adicional de insalubridade)</v>
      </c>
      <c r="H118" s="96"/>
    </row>
    <row r="119" spans="1:9" x14ac:dyDescent="0.35">
      <c r="A119" s="123" t="s">
        <v>74</v>
      </c>
      <c r="B119" s="123"/>
      <c r="C119" s="29" t="s">
        <v>13</v>
      </c>
      <c r="D119" s="29" t="s">
        <v>6</v>
      </c>
      <c r="E119" s="29" t="s">
        <v>13</v>
      </c>
      <c r="F119" s="29" t="s">
        <v>6</v>
      </c>
      <c r="G119" s="29" t="s">
        <v>13</v>
      </c>
      <c r="H119" s="29" t="s">
        <v>6</v>
      </c>
    </row>
    <row r="120" spans="1:9" x14ac:dyDescent="0.35">
      <c r="A120" s="29" t="s">
        <v>0</v>
      </c>
      <c r="B120" s="27" t="s">
        <v>75</v>
      </c>
      <c r="C120" s="7">
        <f>(D120/$D$127)</f>
        <v>0.27220744323190865</v>
      </c>
      <c r="D120" s="28">
        <f>D25</f>
        <v>1912.02</v>
      </c>
      <c r="E120" s="34">
        <f>F120/$H$127</f>
        <v>0.22846099019999913</v>
      </c>
      <c r="F120" s="28">
        <f>F25</f>
        <v>1912.02</v>
      </c>
      <c r="G120" s="34">
        <f>H120/$H$127</f>
        <v>0.37602780104033556</v>
      </c>
      <c r="H120" s="28">
        <f>H25</f>
        <v>3147.0259999999998</v>
      </c>
    </row>
    <row r="121" spans="1:9" x14ac:dyDescent="0.35">
      <c r="A121" s="29" t="s">
        <v>1</v>
      </c>
      <c r="B121" s="27" t="s">
        <v>76</v>
      </c>
      <c r="C121" s="7">
        <f>(D121/$D$127)</f>
        <v>0.31771202220086031</v>
      </c>
      <c r="D121" s="28">
        <f>D62</f>
        <v>2231.65</v>
      </c>
      <c r="E121" s="34">
        <f>F121/$H$127</f>
        <v>0.26665252914709475</v>
      </c>
      <c r="F121" s="28">
        <f>F62</f>
        <v>2231.65</v>
      </c>
      <c r="G121" s="34">
        <f>H121/$H$127</f>
        <v>0.35135427219004167</v>
      </c>
      <c r="H121" s="28">
        <f>H62</f>
        <v>2940.53</v>
      </c>
    </row>
    <row r="122" spans="1:9" x14ac:dyDescent="0.35">
      <c r="A122" s="29" t="s">
        <v>2</v>
      </c>
      <c r="B122" s="27" t="s">
        <v>77</v>
      </c>
      <c r="C122" s="7">
        <f>(D122/$D$127)</f>
        <v>1.9488539295622415E-2</v>
      </c>
      <c r="D122" s="28">
        <f>D72</f>
        <v>136.88999999999999</v>
      </c>
      <c r="E122" s="34">
        <f>F122/$H$127</f>
        <v>1.6356536515558351E-2</v>
      </c>
      <c r="F122" s="28">
        <f>F72</f>
        <v>136.88999999999999</v>
      </c>
      <c r="G122" s="34">
        <f>H122/$H$127</f>
        <v>2.6921551919939019E-2</v>
      </c>
      <c r="H122" s="28">
        <f>H72</f>
        <v>225.31</v>
      </c>
    </row>
    <row r="123" spans="1:9" x14ac:dyDescent="0.35">
      <c r="A123" s="32" t="s">
        <v>3</v>
      </c>
      <c r="B123" s="9" t="s">
        <v>78</v>
      </c>
      <c r="C123" s="7">
        <f>(D123/$D$127)</f>
        <v>1.2684848062239443E-2</v>
      </c>
      <c r="D123" s="28">
        <f>D96</f>
        <v>89.1</v>
      </c>
      <c r="E123" s="34">
        <f>F123/$H$127</f>
        <v>1.4812768148394835E-2</v>
      </c>
      <c r="F123" s="28">
        <f>F96</f>
        <v>123.97</v>
      </c>
      <c r="G123" s="34">
        <f>H123/$H$127</f>
        <v>1.7522726861031724E-2</v>
      </c>
      <c r="H123" s="28">
        <f>H96</f>
        <v>146.65</v>
      </c>
    </row>
    <row r="124" spans="1:9" x14ac:dyDescent="0.35">
      <c r="A124" s="32" t="s">
        <v>22</v>
      </c>
      <c r="B124" s="9" t="s">
        <v>79</v>
      </c>
      <c r="C124" s="7">
        <f>(D124/$D$127)</f>
        <v>0.14973530637419705</v>
      </c>
      <c r="D124" s="28">
        <f>D105</f>
        <v>1051.76</v>
      </c>
      <c r="E124" s="34">
        <f>F124/$F$127</f>
        <v>2.7628696971488245E-2</v>
      </c>
      <c r="F124" s="28">
        <f>F105</f>
        <v>163.52000000000001</v>
      </c>
      <c r="G124" s="34">
        <f>H124/$H$127</f>
        <v>0</v>
      </c>
      <c r="H124" s="28">
        <f>H105</f>
        <v>0</v>
      </c>
    </row>
    <row r="125" spans="1:9" x14ac:dyDescent="0.35">
      <c r="A125" s="125" t="s">
        <v>80</v>
      </c>
      <c r="B125" s="125"/>
      <c r="C125" s="7"/>
      <c r="D125" s="35">
        <f>ROUND(SUM(D120:D124),2)</f>
        <v>5421.42</v>
      </c>
      <c r="E125" s="34"/>
      <c r="F125" s="35">
        <f>ROUND(SUM(F120:F124),2)</f>
        <v>4568.05</v>
      </c>
      <c r="G125" s="34"/>
      <c r="H125" s="35">
        <f>ROUND(SUM(H120:H124),2)</f>
        <v>6459.52</v>
      </c>
    </row>
    <row r="126" spans="1:9" x14ac:dyDescent="0.35">
      <c r="A126" s="32" t="s">
        <v>24</v>
      </c>
      <c r="B126" s="36" t="s">
        <v>63</v>
      </c>
      <c r="C126" s="7">
        <f>(D126/$D$127)</f>
        <v>0.22817208572201772</v>
      </c>
      <c r="D126" s="28">
        <f>D116</f>
        <v>1602.71</v>
      </c>
      <c r="E126" s="34">
        <f>F126/$H$127</f>
        <v>0.16135725064899051</v>
      </c>
      <c r="F126" s="28">
        <f>F116</f>
        <v>1350.42</v>
      </c>
      <c r="G126" s="34">
        <f>H126/$H$127</f>
        <v>0.22817302721510252</v>
      </c>
      <c r="H126" s="28">
        <f>H116</f>
        <v>1909.61</v>
      </c>
    </row>
    <row r="127" spans="1:9" x14ac:dyDescent="0.35">
      <c r="A127" s="125" t="s">
        <v>81</v>
      </c>
      <c r="B127" s="125"/>
      <c r="C127" s="37">
        <f>SUM(C120:C126)</f>
        <v>1.0000002448868457</v>
      </c>
      <c r="D127" s="35">
        <f>(D125+D110+D111)/(1-C112)</f>
        <v>7024.1282798833827</v>
      </c>
      <c r="E127" s="34">
        <f>SUM(E120:E126)</f>
        <v>0.71526877163152591</v>
      </c>
      <c r="F127" s="35">
        <f>(F125+F110+F111)/(1-E112)</f>
        <v>5918.4839650145777</v>
      </c>
      <c r="G127" s="34">
        <f>SUM(G120:G126)</f>
        <v>0.99999937922645055</v>
      </c>
      <c r="H127" s="35">
        <f>(H125+H110+H111)/(1-G112)</f>
        <v>8369.1311953352779</v>
      </c>
    </row>
    <row r="128" spans="1:9" x14ac:dyDescent="0.35">
      <c r="D128" s="38">
        <f>D127/D120</f>
        <v>3.6736688318549926</v>
      </c>
      <c r="E128" s="38"/>
      <c r="F128" s="38">
        <f>F127/F120</f>
        <v>3.09540902554083</v>
      </c>
      <c r="G128" s="38">
        <f>G127/G120</f>
        <v>2.6593761856432074</v>
      </c>
      <c r="H128" s="38">
        <f>H127/H120</f>
        <v>2.6593778365146261</v>
      </c>
    </row>
    <row r="129" spans="1:22" ht="15" customHeight="1" x14ac:dyDescent="0.35">
      <c r="D129" s="38">
        <f>(D127-D120)/D120</f>
        <v>2.6736688318549926</v>
      </c>
      <c r="E129" s="38"/>
      <c r="F129" s="38">
        <f>(F127-F120)/F120</f>
        <v>2.09540902554083</v>
      </c>
      <c r="G129" s="38">
        <f>(G127-G120)/G120</f>
        <v>1.6593761856432077</v>
      </c>
      <c r="H129" s="38">
        <f>(H127-H120)/H120</f>
        <v>1.6593778365146263</v>
      </c>
    </row>
    <row r="130" spans="1:22" ht="40" customHeight="1" x14ac:dyDescent="0.35">
      <c r="A130" s="96" t="s">
        <v>354</v>
      </c>
      <c r="B130" s="96"/>
      <c r="C130" s="96"/>
      <c r="D130" s="96"/>
      <c r="E130" s="96"/>
      <c r="F130" s="96"/>
      <c r="G130" s="96"/>
      <c r="H130" s="96"/>
      <c r="I130" s="96"/>
      <c r="J130" s="96"/>
      <c r="K130" s="96"/>
      <c r="L130" s="96"/>
    </row>
    <row r="131" spans="1:22" x14ac:dyDescent="0.35">
      <c r="A131" s="96" t="s">
        <v>82</v>
      </c>
      <c r="B131" s="96"/>
      <c r="C131" s="96" t="s">
        <v>83</v>
      </c>
      <c r="D131" s="96"/>
      <c r="E131" s="96" t="s">
        <v>84</v>
      </c>
      <c r="F131" s="96"/>
      <c r="G131" s="96" t="s">
        <v>85</v>
      </c>
      <c r="H131" s="96"/>
      <c r="I131" s="96" t="s">
        <v>86</v>
      </c>
      <c r="J131" s="96"/>
      <c r="K131" s="96" t="s">
        <v>87</v>
      </c>
      <c r="L131" s="96"/>
    </row>
    <row r="132" spans="1:22" x14ac:dyDescent="0.35">
      <c r="A132" s="29" t="s">
        <v>88</v>
      </c>
      <c r="B132" s="39" t="str">
        <f>C19</f>
        <v>Copeiragem (adicional de insalubridade)</v>
      </c>
      <c r="C132" s="126">
        <f>ROUND(D127,2)</f>
        <v>7024.13</v>
      </c>
      <c r="D132" s="126"/>
      <c r="E132" s="127">
        <v>1</v>
      </c>
      <c r="F132" s="127"/>
      <c r="G132" s="126">
        <f>(C132*E132)</f>
        <v>7024.13</v>
      </c>
      <c r="H132" s="126"/>
      <c r="I132" s="127">
        <v>8</v>
      </c>
      <c r="J132" s="127"/>
      <c r="K132" s="128">
        <f>G132*I132</f>
        <v>56193.04</v>
      </c>
      <c r="L132" s="129"/>
    </row>
    <row r="133" spans="1:22" x14ac:dyDescent="0.35">
      <c r="A133" s="32" t="s">
        <v>89</v>
      </c>
      <c r="B133" s="39" t="str">
        <f>E19</f>
        <v>Carregador (adicional de insalubridade)</v>
      </c>
      <c r="C133" s="126">
        <f>ROUND(F127,2)</f>
        <v>5918.48</v>
      </c>
      <c r="D133" s="126"/>
      <c r="E133" s="97">
        <v>1</v>
      </c>
      <c r="F133" s="99"/>
      <c r="G133" s="130">
        <f t="shared" ref="G133:G134" si="11">(C133*E133)</f>
        <v>5918.48</v>
      </c>
      <c r="H133" s="130"/>
      <c r="I133" s="97">
        <v>2</v>
      </c>
      <c r="J133" s="99"/>
      <c r="K133" s="126">
        <f>G133*I133</f>
        <v>11836.96</v>
      </c>
      <c r="L133" s="126"/>
      <c r="N133" s="55"/>
      <c r="O133" s="55"/>
      <c r="P133" s="55"/>
      <c r="Q133" s="55"/>
      <c r="R133" s="55"/>
      <c r="S133" s="55"/>
      <c r="T133" s="55"/>
      <c r="V133" s="55"/>
    </row>
    <row r="134" spans="1:22" x14ac:dyDescent="0.35">
      <c r="A134" s="29" t="s">
        <v>90</v>
      </c>
      <c r="B134" s="39" t="str">
        <f>G19</f>
        <v>Assistente Administrativo (adicional de insalubridade)</v>
      </c>
      <c r="C134" s="128">
        <f>ROUND(H127,2)</f>
        <v>8369.1299999999992</v>
      </c>
      <c r="D134" s="129"/>
      <c r="E134" s="127">
        <v>1</v>
      </c>
      <c r="F134" s="127"/>
      <c r="G134" s="130">
        <f t="shared" si="11"/>
        <v>8369.1299999999992</v>
      </c>
      <c r="H134" s="130"/>
      <c r="I134" s="127">
        <v>5</v>
      </c>
      <c r="J134" s="127"/>
      <c r="K134" s="126">
        <f t="shared" ref="K134" si="12">G134*I134</f>
        <v>41845.649999999994</v>
      </c>
      <c r="L134" s="126"/>
    </row>
    <row r="135" spans="1:22" x14ac:dyDescent="0.35">
      <c r="A135" s="131" t="s">
        <v>93</v>
      </c>
      <c r="B135" s="131"/>
      <c r="C135" s="123"/>
      <c r="D135" s="123"/>
      <c r="E135" s="123"/>
      <c r="F135" s="123"/>
      <c r="G135" s="123"/>
      <c r="H135" s="123"/>
      <c r="I135" s="127">
        <f>SUM(I132:I134)</f>
        <v>15</v>
      </c>
      <c r="J135" s="127"/>
      <c r="K135" s="132">
        <f>SUM(K132:K134)</f>
        <v>109875.65</v>
      </c>
      <c r="L135" s="132"/>
    </row>
    <row r="136" spans="1:22" x14ac:dyDescent="0.35">
      <c r="A136" s="131" t="s">
        <v>200</v>
      </c>
      <c r="B136" s="131"/>
      <c r="C136" s="123"/>
      <c r="D136" s="123"/>
      <c r="E136" s="123"/>
      <c r="F136" s="123"/>
      <c r="G136" s="123"/>
      <c r="H136" s="123"/>
      <c r="I136" s="123"/>
      <c r="J136" s="123"/>
      <c r="K136" s="132">
        <f>K135*12</f>
        <v>1318507.7999999998</v>
      </c>
      <c r="L136" s="132"/>
    </row>
    <row r="137" spans="1:22" x14ac:dyDescent="0.35">
      <c r="A137" s="131" t="s">
        <v>201</v>
      </c>
      <c r="B137" s="131"/>
      <c r="C137" s="123"/>
      <c r="D137" s="123"/>
      <c r="E137" s="123"/>
      <c r="F137" s="123"/>
      <c r="G137" s="123"/>
      <c r="H137" s="123"/>
      <c r="I137" s="123"/>
      <c r="J137" s="123"/>
      <c r="K137" s="132">
        <f>K135*30</f>
        <v>3296269.5</v>
      </c>
      <c r="L137" s="132"/>
    </row>
  </sheetData>
  <mergeCells count="132">
    <mergeCell ref="G2:H2"/>
    <mergeCell ref="C3:D3"/>
    <mergeCell ref="E3:F3"/>
    <mergeCell ref="C2:D2"/>
    <mergeCell ref="E2:F2"/>
    <mergeCell ref="G8:H8"/>
    <mergeCell ref="G5:H5"/>
    <mergeCell ref="C8:D8"/>
    <mergeCell ref="E8:F8"/>
    <mergeCell ref="G4:H4"/>
    <mergeCell ref="C5:D5"/>
    <mergeCell ref="E5:F5"/>
    <mergeCell ref="G3:H3"/>
    <mergeCell ref="C4:D4"/>
    <mergeCell ref="E4:F4"/>
    <mergeCell ref="G10:H10"/>
    <mergeCell ref="C13:D13"/>
    <mergeCell ref="E13:F13"/>
    <mergeCell ref="G9:H9"/>
    <mergeCell ref="C10:D10"/>
    <mergeCell ref="E10:F10"/>
    <mergeCell ref="C9:D9"/>
    <mergeCell ref="E9:F9"/>
    <mergeCell ref="G15:H15"/>
    <mergeCell ref="C16:D16"/>
    <mergeCell ref="E16:F16"/>
    <mergeCell ref="G14:H14"/>
    <mergeCell ref="C15:D15"/>
    <mergeCell ref="E15:F15"/>
    <mergeCell ref="G13:H13"/>
    <mergeCell ref="E28:F28"/>
    <mergeCell ref="G28:H28"/>
    <mergeCell ref="G19:H19"/>
    <mergeCell ref="C14:D14"/>
    <mergeCell ref="E14:F14"/>
    <mergeCell ref="A25:B25"/>
    <mergeCell ref="A28:B28"/>
    <mergeCell ref="C28:D28"/>
    <mergeCell ref="G17:H17"/>
    <mergeCell ref="A19:B19"/>
    <mergeCell ref="C19:D19"/>
    <mergeCell ref="E19:F19"/>
    <mergeCell ref="C17:D17"/>
    <mergeCell ref="E17:F17"/>
    <mergeCell ref="G16:H16"/>
    <mergeCell ref="E48:F48"/>
    <mergeCell ref="G48:H48"/>
    <mergeCell ref="A45:B45"/>
    <mergeCell ref="A48:B48"/>
    <mergeCell ref="C48:D48"/>
    <mergeCell ref="E35:F35"/>
    <mergeCell ref="G35:H35"/>
    <mergeCell ref="A32:B32"/>
    <mergeCell ref="A35:B35"/>
    <mergeCell ref="C35:D35"/>
    <mergeCell ref="G57:H57"/>
    <mergeCell ref="A62:B62"/>
    <mergeCell ref="A65:B65"/>
    <mergeCell ref="C65:D65"/>
    <mergeCell ref="E65:F65"/>
    <mergeCell ref="E57:F57"/>
    <mergeCell ref="A51:A52"/>
    <mergeCell ref="B51:B52"/>
    <mergeCell ref="A54:B54"/>
    <mergeCell ref="A57:B57"/>
    <mergeCell ref="C57:D57"/>
    <mergeCell ref="E86:F86"/>
    <mergeCell ref="G86:H86"/>
    <mergeCell ref="A83:B83"/>
    <mergeCell ref="A86:B86"/>
    <mergeCell ref="C86:D86"/>
    <mergeCell ref="E75:F75"/>
    <mergeCell ref="G75:H75"/>
    <mergeCell ref="G65:H65"/>
    <mergeCell ref="A72:B72"/>
    <mergeCell ref="A75:B75"/>
    <mergeCell ref="C75:D75"/>
    <mergeCell ref="E99:F99"/>
    <mergeCell ref="G99:H99"/>
    <mergeCell ref="A96:B96"/>
    <mergeCell ref="A99:B99"/>
    <mergeCell ref="C99:D99"/>
    <mergeCell ref="E92:F92"/>
    <mergeCell ref="G92:H92"/>
    <mergeCell ref="A89:B89"/>
    <mergeCell ref="A92:B92"/>
    <mergeCell ref="C92:D92"/>
    <mergeCell ref="E118:F118"/>
    <mergeCell ref="G118:H118"/>
    <mergeCell ref="A116:B116"/>
    <mergeCell ref="A118:B118"/>
    <mergeCell ref="C118:D118"/>
    <mergeCell ref="E108:F108"/>
    <mergeCell ref="G108:H108"/>
    <mergeCell ref="A105:B105"/>
    <mergeCell ref="A108:B108"/>
    <mergeCell ref="C108:D108"/>
    <mergeCell ref="C132:D132"/>
    <mergeCell ref="E132:F132"/>
    <mergeCell ref="G132:H132"/>
    <mergeCell ref="I132:J132"/>
    <mergeCell ref="K132:L132"/>
    <mergeCell ref="A119:B119"/>
    <mergeCell ref="A125:B125"/>
    <mergeCell ref="A127:B127"/>
    <mergeCell ref="A130:L130"/>
    <mergeCell ref="A131:B131"/>
    <mergeCell ref="C131:D131"/>
    <mergeCell ref="E131:F131"/>
    <mergeCell ref="G131:H131"/>
    <mergeCell ref="I131:J131"/>
    <mergeCell ref="K131:L131"/>
    <mergeCell ref="C134:D134"/>
    <mergeCell ref="E134:F134"/>
    <mergeCell ref="G134:H134"/>
    <mergeCell ref="I134:J134"/>
    <mergeCell ref="K134:L134"/>
    <mergeCell ref="C133:D133"/>
    <mergeCell ref="E133:F133"/>
    <mergeCell ref="G133:H133"/>
    <mergeCell ref="I133:J133"/>
    <mergeCell ref="K133:L133"/>
    <mergeCell ref="A137:B137"/>
    <mergeCell ref="C137:J137"/>
    <mergeCell ref="K137:L137"/>
    <mergeCell ref="A135:B135"/>
    <mergeCell ref="C135:H135"/>
    <mergeCell ref="I135:J135"/>
    <mergeCell ref="K135:L135"/>
    <mergeCell ref="A136:B136"/>
    <mergeCell ref="C136:J136"/>
    <mergeCell ref="K136:L136"/>
  </mergeCells>
  <pageMargins left="0.51180555555555496" right="0.51180555555555496" top="0.78749999999999998" bottom="0.78749999999999998" header="0.51180555555555496" footer="0.51180555555555496"/>
  <pageSetup paperSize="9" scale="18" firstPageNumber="0" orientation="portrait"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641967-54A4-4B3A-A263-E6B9BF3DC256}">
  <sheetPr>
    <pageSetUpPr fitToPage="1"/>
  </sheetPr>
  <dimension ref="A1:L136"/>
  <sheetViews>
    <sheetView showGridLines="0" topLeftCell="B105" zoomScaleNormal="100" workbookViewId="0">
      <selection activeCell="G110" sqref="G110"/>
    </sheetView>
  </sheetViews>
  <sheetFormatPr defaultRowHeight="14.5" x14ac:dyDescent="0.35"/>
  <cols>
    <col min="1" max="1" width="12.26953125" customWidth="1"/>
    <col min="2" max="2" width="54.81640625" customWidth="1"/>
    <col min="3" max="3" width="13.7265625" customWidth="1"/>
    <col min="4" max="4" width="17.7265625" customWidth="1"/>
    <col min="5" max="5" width="13.7265625" customWidth="1"/>
    <col min="6" max="6" width="17.7265625" customWidth="1"/>
    <col min="7" max="7" width="13.7265625" customWidth="1"/>
    <col min="8" max="8" width="17.7265625" customWidth="1"/>
    <col min="9" max="9" width="13.7265625" customWidth="1"/>
    <col min="10" max="10" width="17.7265625" customWidth="1"/>
    <col min="11" max="11" width="13.7265625" customWidth="1"/>
    <col min="12" max="12" width="17.7265625" customWidth="1"/>
    <col min="13" max="13" width="13.7265625" customWidth="1"/>
    <col min="14" max="20" width="17.7265625" customWidth="1"/>
    <col min="21" max="21" width="13.7265625" customWidth="1"/>
    <col min="22" max="22" width="17.7265625" customWidth="1"/>
    <col min="23" max="23" width="13.7265625" customWidth="1"/>
    <col min="24" max="24" width="17.7265625" customWidth="1"/>
    <col min="25" max="25" width="13.7265625" customWidth="1"/>
    <col min="26" max="26" width="17.7265625" customWidth="1"/>
    <col min="27" max="27" width="13.7265625" customWidth="1"/>
    <col min="28" max="28" width="17.7265625" customWidth="1"/>
    <col min="29" max="33" width="8.7265625" customWidth="1"/>
    <col min="35" max="1029" width="8.7265625" customWidth="1"/>
  </cols>
  <sheetData>
    <row r="1" spans="1:6" x14ac:dyDescent="0.35">
      <c r="A1" s="113" t="s">
        <v>218</v>
      </c>
      <c r="B1" s="114"/>
      <c r="C1" s="114"/>
      <c r="D1" s="114"/>
      <c r="E1" s="114"/>
      <c r="F1" s="115"/>
    </row>
    <row r="2" spans="1:6" x14ac:dyDescent="0.35">
      <c r="A2" s="29" t="s">
        <v>0</v>
      </c>
      <c r="B2" s="27" t="s">
        <v>219</v>
      </c>
      <c r="C2" s="118" t="s">
        <v>233</v>
      </c>
      <c r="D2" s="119" t="s">
        <v>232</v>
      </c>
      <c r="E2" s="118" t="s">
        <v>233</v>
      </c>
      <c r="F2" s="119" t="s">
        <v>235</v>
      </c>
    </row>
    <row r="3" spans="1:6" x14ac:dyDescent="0.35">
      <c r="A3" s="29" t="s">
        <v>1</v>
      </c>
      <c r="B3" s="27" t="s">
        <v>220</v>
      </c>
      <c r="C3" s="97" t="s">
        <v>234</v>
      </c>
      <c r="D3" s="99" t="s">
        <v>234</v>
      </c>
      <c r="E3" s="97" t="s">
        <v>234</v>
      </c>
      <c r="F3" s="99" t="s">
        <v>234</v>
      </c>
    </row>
    <row r="4" spans="1:6" x14ac:dyDescent="0.35">
      <c r="A4" s="29" t="s">
        <v>2</v>
      </c>
      <c r="B4" s="27" t="s">
        <v>221</v>
      </c>
      <c r="C4" s="118">
        <v>2024</v>
      </c>
      <c r="D4" s="119"/>
      <c r="E4" s="118">
        <v>2024</v>
      </c>
      <c r="F4" s="119"/>
    </row>
    <row r="5" spans="1:6" x14ac:dyDescent="0.35">
      <c r="A5" s="29" t="s">
        <v>3</v>
      </c>
      <c r="B5" s="27" t="s">
        <v>222</v>
      </c>
      <c r="C5" s="118">
        <v>12</v>
      </c>
      <c r="D5" s="119"/>
      <c r="E5" s="118">
        <v>12</v>
      </c>
      <c r="F5" s="119"/>
    </row>
    <row r="7" spans="1:6" ht="14.5" customHeight="1" x14ac:dyDescent="0.35">
      <c r="A7" s="113" t="s">
        <v>223</v>
      </c>
      <c r="B7" s="114"/>
      <c r="C7" s="114"/>
      <c r="D7" s="114"/>
      <c r="E7" s="114"/>
      <c r="F7" s="115"/>
    </row>
    <row r="8" spans="1:6" x14ac:dyDescent="0.35">
      <c r="A8" s="29">
        <v>1</v>
      </c>
      <c r="B8" s="36" t="s">
        <v>224</v>
      </c>
      <c r="C8" s="97" t="s">
        <v>214</v>
      </c>
      <c r="D8" s="99"/>
      <c r="E8" s="97" t="s">
        <v>191</v>
      </c>
      <c r="F8" s="99"/>
    </row>
    <row r="9" spans="1:6" x14ac:dyDescent="0.35">
      <c r="A9" s="29" t="s">
        <v>0</v>
      </c>
      <c r="B9" s="27" t="s">
        <v>225</v>
      </c>
      <c r="C9" s="118" t="s">
        <v>236</v>
      </c>
      <c r="D9" s="119"/>
      <c r="E9" s="118" t="s">
        <v>236</v>
      </c>
      <c r="F9" s="119"/>
    </row>
    <row r="10" spans="1:6" x14ac:dyDescent="0.35">
      <c r="A10" s="29" t="s">
        <v>1</v>
      </c>
      <c r="B10" s="27" t="s">
        <v>226</v>
      </c>
      <c r="C10" s="118">
        <v>1</v>
      </c>
      <c r="D10" s="119"/>
      <c r="E10" s="118">
        <v>1</v>
      </c>
      <c r="F10" s="119"/>
    </row>
    <row r="11" spans="1:6" x14ac:dyDescent="0.35">
      <c r="A11" s="14"/>
      <c r="C11" s="61"/>
      <c r="D11" s="62"/>
      <c r="E11" s="61"/>
      <c r="F11" s="62"/>
    </row>
    <row r="12" spans="1:6" ht="14.5" customHeight="1" x14ac:dyDescent="0.35">
      <c r="A12" s="113" t="s">
        <v>231</v>
      </c>
      <c r="B12" s="114"/>
      <c r="C12" s="114"/>
      <c r="D12" s="114"/>
      <c r="E12" s="114"/>
      <c r="F12" s="115"/>
    </row>
    <row r="13" spans="1:6" x14ac:dyDescent="0.35">
      <c r="A13" s="29">
        <v>1</v>
      </c>
      <c r="B13" s="27" t="s">
        <v>227</v>
      </c>
      <c r="C13" s="135" t="s">
        <v>214</v>
      </c>
      <c r="D13" s="136"/>
      <c r="E13" s="135" t="s">
        <v>191</v>
      </c>
      <c r="F13" s="136"/>
    </row>
    <row r="14" spans="1:6" x14ac:dyDescent="0.35">
      <c r="A14" s="29">
        <v>2</v>
      </c>
      <c r="B14" s="27" t="s">
        <v>228</v>
      </c>
      <c r="C14" s="118" t="s">
        <v>239</v>
      </c>
      <c r="D14" s="119"/>
      <c r="E14" s="118" t="s">
        <v>240</v>
      </c>
      <c r="F14" s="119"/>
    </row>
    <row r="15" spans="1:6" x14ac:dyDescent="0.35">
      <c r="A15" s="29">
        <v>3</v>
      </c>
      <c r="B15" s="27" t="s">
        <v>229</v>
      </c>
      <c r="C15" s="120">
        <v>1629.62</v>
      </c>
      <c r="D15" s="121"/>
      <c r="E15" s="120">
        <v>1629.62</v>
      </c>
      <c r="F15" s="121"/>
    </row>
    <row r="16" spans="1:6" x14ac:dyDescent="0.35">
      <c r="A16" s="29">
        <v>4</v>
      </c>
      <c r="B16" s="27" t="s">
        <v>230</v>
      </c>
      <c r="C16" s="118" t="s">
        <v>237</v>
      </c>
      <c r="D16" s="119"/>
      <c r="E16" s="118" t="s">
        <v>237</v>
      </c>
      <c r="F16" s="119"/>
    </row>
    <row r="17" spans="1:7" x14ac:dyDescent="0.35">
      <c r="A17" s="29">
        <v>5</v>
      </c>
      <c r="B17" s="27" t="s">
        <v>238</v>
      </c>
      <c r="C17" s="122">
        <v>45301</v>
      </c>
      <c r="D17" s="119"/>
      <c r="E17" s="122">
        <v>45301</v>
      </c>
      <c r="F17" s="119"/>
    </row>
    <row r="19" spans="1:7" ht="40" customHeight="1" x14ac:dyDescent="0.35">
      <c r="A19" s="117" t="s">
        <v>4</v>
      </c>
      <c r="B19" s="117"/>
      <c r="C19" s="96" t="s">
        <v>214</v>
      </c>
      <c r="D19" s="96"/>
      <c r="E19" s="96" t="s">
        <v>191</v>
      </c>
      <c r="F19" s="96"/>
    </row>
    <row r="20" spans="1:7" x14ac:dyDescent="0.35">
      <c r="A20" s="29">
        <v>1</v>
      </c>
      <c r="B20" s="29" t="s">
        <v>5</v>
      </c>
      <c r="C20" s="29"/>
      <c r="D20" s="29" t="s">
        <v>6</v>
      </c>
      <c r="E20" s="29"/>
      <c r="F20" s="29" t="s">
        <v>6</v>
      </c>
    </row>
    <row r="21" spans="1:7" x14ac:dyDescent="0.35">
      <c r="A21" s="29" t="s">
        <v>0</v>
      </c>
      <c r="B21" s="27" t="s">
        <v>7</v>
      </c>
      <c r="C21" s="2"/>
      <c r="D21" s="3">
        <f>C15</f>
        <v>1629.62</v>
      </c>
      <c r="E21" s="2"/>
      <c r="F21" s="3">
        <f>E15</f>
        <v>1629.62</v>
      </c>
      <c r="G21" t="s">
        <v>137</v>
      </c>
    </row>
    <row r="22" spans="1:7" x14ac:dyDescent="0.35">
      <c r="A22" s="29" t="s">
        <v>1</v>
      </c>
      <c r="B22" s="27" t="s">
        <v>96</v>
      </c>
      <c r="C22" s="2"/>
      <c r="D22" s="3"/>
      <c r="E22" s="2"/>
      <c r="F22" s="3"/>
      <c r="G22" t="s">
        <v>198</v>
      </c>
    </row>
    <row r="23" spans="1:7" x14ac:dyDescent="0.35">
      <c r="A23" s="29" t="s">
        <v>2</v>
      </c>
      <c r="B23" s="27" t="s">
        <v>212</v>
      </c>
      <c r="C23" s="2"/>
      <c r="D23" s="3"/>
      <c r="E23" s="2"/>
      <c r="F23" s="3"/>
      <c r="G23" t="s">
        <v>210</v>
      </c>
    </row>
    <row r="24" spans="1:7" x14ac:dyDescent="0.35">
      <c r="A24" s="29" t="s">
        <v>3</v>
      </c>
      <c r="B24" s="27" t="s">
        <v>213</v>
      </c>
      <c r="C24" s="2"/>
      <c r="D24" s="3"/>
      <c r="E24" s="2"/>
      <c r="F24" s="3"/>
      <c r="G24" t="s">
        <v>211</v>
      </c>
    </row>
    <row r="25" spans="1:7" x14ac:dyDescent="0.35">
      <c r="A25" s="116" t="s">
        <v>9</v>
      </c>
      <c r="B25" s="116"/>
      <c r="C25" s="27"/>
      <c r="D25" s="4">
        <f>SUM(D21:D24)</f>
        <v>1629.62</v>
      </c>
      <c r="E25" s="27"/>
      <c r="F25" s="4">
        <f>SUM(F21:F24)</f>
        <v>1629.62</v>
      </c>
    </row>
    <row r="27" spans="1:7" ht="15" customHeight="1" x14ac:dyDescent="0.35"/>
    <row r="28" spans="1:7" ht="40" customHeight="1" x14ac:dyDescent="0.35">
      <c r="A28" s="117" t="s">
        <v>10</v>
      </c>
      <c r="B28" s="117"/>
      <c r="C28" s="96" t="str">
        <f>$C$19</f>
        <v>Copeiragem</v>
      </c>
      <c r="D28" s="96"/>
      <c r="E28" s="96" t="str">
        <f>$E$19</f>
        <v>Carregador</v>
      </c>
      <c r="F28" s="96"/>
    </row>
    <row r="29" spans="1:7" x14ac:dyDescent="0.35">
      <c r="A29" s="29" t="s">
        <v>11</v>
      </c>
      <c r="B29" s="29" t="s">
        <v>12</v>
      </c>
      <c r="C29" s="29" t="s">
        <v>13</v>
      </c>
      <c r="D29" s="29" t="s">
        <v>6</v>
      </c>
      <c r="E29" s="29" t="s">
        <v>13</v>
      </c>
      <c r="F29" s="29" t="s">
        <v>6</v>
      </c>
      <c r="G29" t="s">
        <v>138</v>
      </c>
    </row>
    <row r="30" spans="1:7" x14ac:dyDescent="0.35">
      <c r="A30" s="29" t="s">
        <v>0</v>
      </c>
      <c r="B30" s="27" t="s">
        <v>14</v>
      </c>
      <c r="C30" s="5">
        <f>1/12</f>
        <v>8.3333333333333329E-2</v>
      </c>
      <c r="D30" s="3">
        <f>ROUND(C30*D25,2)</f>
        <v>135.80000000000001</v>
      </c>
      <c r="E30" s="5">
        <f>1/12</f>
        <v>8.3333333333333329E-2</v>
      </c>
      <c r="F30" s="3">
        <f>ROUND(E30*F25,2)</f>
        <v>135.80000000000001</v>
      </c>
      <c r="G30" t="s">
        <v>139</v>
      </c>
    </row>
    <row r="31" spans="1:7" x14ac:dyDescent="0.35">
      <c r="A31" s="29" t="s">
        <v>1</v>
      </c>
      <c r="B31" s="27" t="s">
        <v>197</v>
      </c>
      <c r="C31" s="5">
        <f>(1/12)+(1/3/12)</f>
        <v>0.1111111111111111</v>
      </c>
      <c r="D31" s="3">
        <f>ROUND(C31*D25,2)</f>
        <v>181.07</v>
      </c>
      <c r="E31" s="5">
        <f>(1/12)+(1/3/12)</f>
        <v>0.1111111111111111</v>
      </c>
      <c r="F31" s="3">
        <f>ROUND(E31*F25,2)</f>
        <v>181.07</v>
      </c>
    </row>
    <row r="32" spans="1:7" x14ac:dyDescent="0.35">
      <c r="A32" s="116" t="s">
        <v>9</v>
      </c>
      <c r="B32" s="116"/>
      <c r="C32" s="30">
        <f t="shared" ref="C32:F32" si="0">SUM(C30:C31)</f>
        <v>0.19444444444444442</v>
      </c>
      <c r="D32" s="4">
        <f t="shared" si="0"/>
        <v>316.87</v>
      </c>
      <c r="E32" s="30">
        <f t="shared" si="0"/>
        <v>0.19444444444444442</v>
      </c>
      <c r="F32" s="4">
        <f t="shared" si="0"/>
        <v>316.87</v>
      </c>
    </row>
    <row r="34" spans="1:7" ht="15" customHeight="1" x14ac:dyDescent="0.35"/>
    <row r="35" spans="1:7" ht="40" customHeight="1" x14ac:dyDescent="0.35">
      <c r="A35" s="96" t="s">
        <v>15</v>
      </c>
      <c r="B35" s="96"/>
      <c r="C35" s="96" t="str">
        <f>$C$19</f>
        <v>Copeiragem</v>
      </c>
      <c r="D35" s="96"/>
      <c r="E35" s="96" t="str">
        <f>$E$19</f>
        <v>Carregador</v>
      </c>
      <c r="F35" s="96"/>
    </row>
    <row r="36" spans="1:7" x14ac:dyDescent="0.35">
      <c r="A36" s="29" t="s">
        <v>16</v>
      </c>
      <c r="B36" s="29" t="s">
        <v>17</v>
      </c>
      <c r="C36" s="29" t="s">
        <v>13</v>
      </c>
      <c r="D36" s="29" t="s">
        <v>6</v>
      </c>
      <c r="E36" s="29" t="s">
        <v>13</v>
      </c>
      <c r="F36" s="29" t="s">
        <v>6</v>
      </c>
      <c r="G36" t="s">
        <v>140</v>
      </c>
    </row>
    <row r="37" spans="1:7" x14ac:dyDescent="0.35">
      <c r="A37" s="29" t="s">
        <v>0</v>
      </c>
      <c r="B37" s="27" t="s">
        <v>18</v>
      </c>
      <c r="C37" s="6">
        <v>0.2</v>
      </c>
      <c r="D37" s="3">
        <f t="shared" ref="D37:D44" si="1">(C37*($D$32+$D$25))</f>
        <v>389.298</v>
      </c>
      <c r="E37" s="6">
        <v>0.2</v>
      </c>
      <c r="F37" s="3">
        <f t="shared" ref="F37:F44" si="2">E37*($F$32+$F$25)</f>
        <v>389.298</v>
      </c>
      <c r="G37" t="s">
        <v>141</v>
      </c>
    </row>
    <row r="38" spans="1:7" x14ac:dyDescent="0.35">
      <c r="A38" s="29" t="s">
        <v>1</v>
      </c>
      <c r="B38" s="27" t="s">
        <v>19</v>
      </c>
      <c r="C38" s="6">
        <v>2.5000000000000001E-2</v>
      </c>
      <c r="D38" s="3">
        <f t="shared" si="1"/>
        <v>48.66225</v>
      </c>
      <c r="E38" s="6">
        <v>2.5000000000000001E-2</v>
      </c>
      <c r="F38" s="3">
        <f t="shared" si="2"/>
        <v>48.66225</v>
      </c>
      <c r="G38" t="s">
        <v>142</v>
      </c>
    </row>
    <row r="39" spans="1:7" x14ac:dyDescent="0.35">
      <c r="A39" s="29" t="s">
        <v>2</v>
      </c>
      <c r="B39" s="27" t="s">
        <v>20</v>
      </c>
      <c r="C39" s="6">
        <v>0.03</v>
      </c>
      <c r="D39" s="3">
        <f t="shared" si="1"/>
        <v>58.394699999999993</v>
      </c>
      <c r="E39" s="6">
        <v>0.03</v>
      </c>
      <c r="F39" s="3">
        <f t="shared" si="2"/>
        <v>58.394699999999993</v>
      </c>
      <c r="G39" t="s">
        <v>143</v>
      </c>
    </row>
    <row r="40" spans="1:7" x14ac:dyDescent="0.35">
      <c r="A40" s="29" t="s">
        <v>3</v>
      </c>
      <c r="B40" s="27" t="s">
        <v>21</v>
      </c>
      <c r="C40" s="6">
        <v>1.4999999999999999E-2</v>
      </c>
      <c r="D40" s="3">
        <f t="shared" si="1"/>
        <v>29.197349999999997</v>
      </c>
      <c r="E40" s="6">
        <v>1.4999999999999999E-2</v>
      </c>
      <c r="F40" s="3">
        <f t="shared" si="2"/>
        <v>29.197349999999997</v>
      </c>
      <c r="G40" t="s">
        <v>144</v>
      </c>
    </row>
    <row r="41" spans="1:7" x14ac:dyDescent="0.35">
      <c r="A41" s="29" t="s">
        <v>22</v>
      </c>
      <c r="B41" s="27" t="s">
        <v>23</v>
      </c>
      <c r="C41" s="6">
        <v>0.01</v>
      </c>
      <c r="D41" s="3">
        <f t="shared" si="1"/>
        <v>19.464899999999997</v>
      </c>
      <c r="E41" s="6">
        <v>0.01</v>
      </c>
      <c r="F41" s="3">
        <f t="shared" si="2"/>
        <v>19.464899999999997</v>
      </c>
      <c r="G41" t="s">
        <v>145</v>
      </c>
    </row>
    <row r="42" spans="1:7" x14ac:dyDescent="0.35">
      <c r="A42" s="29" t="s">
        <v>24</v>
      </c>
      <c r="B42" s="27" t="s">
        <v>25</v>
      </c>
      <c r="C42" s="6">
        <v>6.0000000000000001E-3</v>
      </c>
      <c r="D42" s="3">
        <f t="shared" si="1"/>
        <v>11.678939999999999</v>
      </c>
      <c r="E42" s="6">
        <v>6.0000000000000001E-3</v>
      </c>
      <c r="F42" s="3">
        <f t="shared" si="2"/>
        <v>11.678939999999999</v>
      </c>
      <c r="G42" t="s">
        <v>146</v>
      </c>
    </row>
    <row r="43" spans="1:7" x14ac:dyDescent="0.35">
      <c r="A43" s="29" t="s">
        <v>26</v>
      </c>
      <c r="B43" s="27" t="s">
        <v>27</v>
      </c>
      <c r="C43" s="6">
        <v>2E-3</v>
      </c>
      <c r="D43" s="3">
        <f t="shared" si="1"/>
        <v>3.8929799999999997</v>
      </c>
      <c r="E43" s="6">
        <v>2E-3</v>
      </c>
      <c r="F43" s="3">
        <f t="shared" si="2"/>
        <v>3.8929799999999997</v>
      </c>
      <c r="G43" t="s">
        <v>147</v>
      </c>
    </row>
    <row r="44" spans="1:7" x14ac:dyDescent="0.35">
      <c r="A44" s="29" t="s">
        <v>28</v>
      </c>
      <c r="B44" s="27" t="s">
        <v>29</v>
      </c>
      <c r="C44" s="6">
        <v>0.08</v>
      </c>
      <c r="D44" s="3">
        <f t="shared" si="1"/>
        <v>155.71919999999997</v>
      </c>
      <c r="E44" s="6">
        <v>0.08</v>
      </c>
      <c r="F44" s="3">
        <f t="shared" si="2"/>
        <v>155.71919999999997</v>
      </c>
    </row>
    <row r="45" spans="1:7" x14ac:dyDescent="0.35">
      <c r="A45" s="116" t="s">
        <v>9</v>
      </c>
      <c r="B45" s="116"/>
      <c r="C45" s="6">
        <f>SUM(C37:C44)</f>
        <v>0.36800000000000005</v>
      </c>
      <c r="D45" s="4">
        <f>(ROUND(SUM(D37:D44),2))</f>
        <v>716.31</v>
      </c>
      <c r="E45" s="6">
        <f>SUM(E37:E44)</f>
        <v>0.36800000000000005</v>
      </c>
      <c r="F45" s="4">
        <f>(ROUND(SUM(F37:F44),2))</f>
        <v>716.31</v>
      </c>
    </row>
    <row r="47" spans="1:7" ht="15" customHeight="1" x14ac:dyDescent="0.35"/>
    <row r="48" spans="1:7" ht="40" customHeight="1" x14ac:dyDescent="0.35">
      <c r="A48" s="96" t="s">
        <v>30</v>
      </c>
      <c r="B48" s="96"/>
      <c r="C48" s="96" t="str">
        <f>$C$19</f>
        <v>Copeiragem</v>
      </c>
      <c r="D48" s="96"/>
      <c r="E48" s="96" t="str">
        <f>$E$19</f>
        <v>Carregador</v>
      </c>
      <c r="F48" s="96"/>
    </row>
    <row r="49" spans="1:7" ht="29" x14ac:dyDescent="0.35">
      <c r="A49" s="29" t="s">
        <v>31</v>
      </c>
      <c r="B49" s="29" t="s">
        <v>32</v>
      </c>
      <c r="C49" s="20" t="s">
        <v>33</v>
      </c>
      <c r="D49" s="29" t="s">
        <v>6</v>
      </c>
      <c r="E49" s="20" t="s">
        <v>33</v>
      </c>
      <c r="F49" s="29" t="s">
        <v>6</v>
      </c>
      <c r="G49" t="s">
        <v>148</v>
      </c>
    </row>
    <row r="50" spans="1:7" x14ac:dyDescent="0.35">
      <c r="A50" s="29" t="s">
        <v>0</v>
      </c>
      <c r="B50" s="27" t="s">
        <v>34</v>
      </c>
      <c r="C50" s="31">
        <v>5.5</v>
      </c>
      <c r="D50" s="3">
        <f>ROUND(IF((C50*2*21)-(D21*6%)&gt;=0,(C50*2*21)-(D21*6%),0),2)</f>
        <v>133.22</v>
      </c>
      <c r="E50" s="31">
        <v>5.5</v>
      </c>
      <c r="F50" s="3">
        <f>ROUND(IF((E50*2*21)-(F21*6%)&gt;=0,(E50*2*21)-(F21*6%),0),2)</f>
        <v>133.22</v>
      </c>
    </row>
    <row r="51" spans="1:7" x14ac:dyDescent="0.35">
      <c r="A51" s="123" t="s">
        <v>1</v>
      </c>
      <c r="B51" s="124" t="s">
        <v>35</v>
      </c>
      <c r="C51" s="10" t="s">
        <v>36</v>
      </c>
      <c r="D51" s="3"/>
      <c r="E51" s="10" t="s">
        <v>36</v>
      </c>
      <c r="F51" s="3"/>
      <c r="G51" t="s">
        <v>149</v>
      </c>
    </row>
    <row r="52" spans="1:7" x14ac:dyDescent="0.35">
      <c r="A52" s="123"/>
      <c r="B52" s="124"/>
      <c r="C52" s="31">
        <v>42.2</v>
      </c>
      <c r="D52" s="3">
        <f>(C52*21)</f>
        <v>886.2</v>
      </c>
      <c r="E52" s="31">
        <v>42.2</v>
      </c>
      <c r="F52" s="3">
        <f>(E52*21)</f>
        <v>886.2</v>
      </c>
    </row>
    <row r="53" spans="1:7" x14ac:dyDescent="0.35">
      <c r="A53" s="29" t="s">
        <v>2</v>
      </c>
      <c r="B53" s="27" t="s">
        <v>8</v>
      </c>
      <c r="C53" s="6"/>
      <c r="D53" s="29"/>
      <c r="E53" s="6"/>
      <c r="F53" s="29"/>
    </row>
    <row r="54" spans="1:7" x14ac:dyDescent="0.35">
      <c r="A54" s="116" t="s">
        <v>9</v>
      </c>
      <c r="B54" s="116"/>
      <c r="C54" s="27"/>
      <c r="D54" s="4">
        <f>ROUND(SUM(D50:D53),2)</f>
        <v>1019.42</v>
      </c>
      <c r="E54" s="27"/>
      <c r="F54" s="4">
        <f>ROUND(SUM(F50:F53),2)</f>
        <v>1019.42</v>
      </c>
    </row>
    <row r="56" spans="1:7" ht="15" customHeight="1" x14ac:dyDescent="0.35"/>
    <row r="57" spans="1:7" ht="40" customHeight="1" x14ac:dyDescent="0.35">
      <c r="A57" s="96" t="s">
        <v>37</v>
      </c>
      <c r="B57" s="96"/>
      <c r="C57" s="96" t="str">
        <f>$C$19</f>
        <v>Copeiragem</v>
      </c>
      <c r="D57" s="96"/>
      <c r="E57" s="96" t="str">
        <f>$E$19</f>
        <v>Carregador</v>
      </c>
      <c r="F57" s="96"/>
    </row>
    <row r="58" spans="1:7" x14ac:dyDescent="0.35">
      <c r="A58" s="29">
        <v>2</v>
      </c>
      <c r="B58" s="29" t="s">
        <v>32</v>
      </c>
      <c r="C58" s="29"/>
      <c r="D58" s="29" t="s">
        <v>6</v>
      </c>
      <c r="E58" s="29"/>
      <c r="F58" s="29" t="s">
        <v>6</v>
      </c>
    </row>
    <row r="59" spans="1:7" x14ac:dyDescent="0.35">
      <c r="A59" s="29" t="s">
        <v>11</v>
      </c>
      <c r="B59" s="27" t="s">
        <v>38</v>
      </c>
      <c r="C59" s="6"/>
      <c r="D59" s="3">
        <f>D32</f>
        <v>316.87</v>
      </c>
      <c r="E59" s="7"/>
      <c r="F59" s="3">
        <f>F32</f>
        <v>316.87</v>
      </c>
    </row>
    <row r="60" spans="1:7" x14ac:dyDescent="0.35">
      <c r="A60" s="29" t="s">
        <v>16</v>
      </c>
      <c r="B60" s="27" t="s">
        <v>17</v>
      </c>
      <c r="C60" s="6"/>
      <c r="D60" s="28">
        <f>D45</f>
        <v>716.31</v>
      </c>
      <c r="E60" s="7"/>
      <c r="F60" s="28">
        <f>F45</f>
        <v>716.31</v>
      </c>
    </row>
    <row r="61" spans="1:7" x14ac:dyDescent="0.35">
      <c r="A61" s="29" t="s">
        <v>31</v>
      </c>
      <c r="B61" s="27" t="s">
        <v>32</v>
      </c>
      <c r="C61" s="6"/>
      <c r="D61" s="28">
        <f>D54</f>
        <v>1019.42</v>
      </c>
      <c r="E61" s="7"/>
      <c r="F61" s="28">
        <f>F54</f>
        <v>1019.42</v>
      </c>
    </row>
    <row r="62" spans="1:7" x14ac:dyDescent="0.35">
      <c r="A62" s="116" t="s">
        <v>9</v>
      </c>
      <c r="B62" s="116"/>
      <c r="C62" s="27"/>
      <c r="D62" s="8">
        <f>SUM(D59:D61)</f>
        <v>2052.6</v>
      </c>
      <c r="E62" s="27"/>
      <c r="F62" s="4">
        <f>SUM(F59:F61)</f>
        <v>2052.6</v>
      </c>
    </row>
    <row r="64" spans="1:7" ht="15" customHeight="1" x14ac:dyDescent="0.35"/>
    <row r="65" spans="1:7" ht="40" customHeight="1" x14ac:dyDescent="0.35">
      <c r="A65" s="96" t="s">
        <v>39</v>
      </c>
      <c r="B65" s="96"/>
      <c r="C65" s="96" t="str">
        <f>$C$19</f>
        <v>Copeiragem</v>
      </c>
      <c r="D65" s="96"/>
      <c r="E65" s="96" t="str">
        <f>$E$19</f>
        <v>Carregador</v>
      </c>
      <c r="F65" s="96"/>
    </row>
    <row r="66" spans="1:7" x14ac:dyDescent="0.35">
      <c r="A66" s="29">
        <v>3</v>
      </c>
      <c r="B66" s="29" t="s">
        <v>40</v>
      </c>
      <c r="C66" s="29" t="s">
        <v>13</v>
      </c>
      <c r="D66" s="29" t="s">
        <v>6</v>
      </c>
      <c r="E66" s="29" t="s">
        <v>13</v>
      </c>
      <c r="F66" s="29" t="s">
        <v>6</v>
      </c>
      <c r="G66" t="s">
        <v>150</v>
      </c>
    </row>
    <row r="67" spans="1:7" x14ac:dyDescent="0.35">
      <c r="A67" s="29" t="s">
        <v>0</v>
      </c>
      <c r="B67" s="27" t="s">
        <v>41</v>
      </c>
      <c r="C67" s="5">
        <f>(1/12*5.55%)</f>
        <v>4.6249999999999998E-3</v>
      </c>
      <c r="D67" s="3">
        <f>ROUND(C67*D25,2)</f>
        <v>7.54</v>
      </c>
      <c r="E67" s="5">
        <f>(1/12*5.55%)</f>
        <v>4.6249999999999998E-3</v>
      </c>
      <c r="F67" s="3">
        <f>ROUND(E67*F25,2)</f>
        <v>7.54</v>
      </c>
    </row>
    <row r="68" spans="1:7" x14ac:dyDescent="0.35">
      <c r="A68" s="29" t="s">
        <v>1</v>
      </c>
      <c r="B68" s="27" t="s">
        <v>42</v>
      </c>
      <c r="C68" s="5">
        <v>0.08</v>
      </c>
      <c r="D68" s="3">
        <f>C68*D67</f>
        <v>0.60320000000000007</v>
      </c>
      <c r="E68" s="5">
        <v>0.08</v>
      </c>
      <c r="F68" s="3">
        <f>E68*F67</f>
        <v>0.60320000000000007</v>
      </c>
      <c r="G68" t="s">
        <v>151</v>
      </c>
    </row>
    <row r="69" spans="1:7" x14ac:dyDescent="0.35">
      <c r="A69" s="29" t="s">
        <v>2</v>
      </c>
      <c r="B69" s="27" t="s">
        <v>43</v>
      </c>
      <c r="C69" s="5">
        <f>(7/30)/12</f>
        <v>1.9444444444444445E-2</v>
      </c>
      <c r="D69" s="3">
        <f>C69*D25</f>
        <v>31.687055555555553</v>
      </c>
      <c r="E69" s="5">
        <f>(7/30)/12</f>
        <v>1.9444444444444445E-2</v>
      </c>
      <c r="F69" s="3">
        <f>E69*F25</f>
        <v>31.687055555555553</v>
      </c>
    </row>
    <row r="70" spans="1:7" x14ac:dyDescent="0.35">
      <c r="A70" s="32" t="s">
        <v>3</v>
      </c>
      <c r="B70" s="9" t="s">
        <v>44</v>
      </c>
      <c r="C70" s="5">
        <f>C45</f>
        <v>0.36800000000000005</v>
      </c>
      <c r="D70" s="3">
        <f>C70*D69</f>
        <v>11.660836444444445</v>
      </c>
      <c r="E70" s="5">
        <f>E45</f>
        <v>0.36800000000000005</v>
      </c>
      <c r="F70" s="3">
        <f>E70*F69</f>
        <v>11.660836444444445</v>
      </c>
      <c r="G70" t="s">
        <v>152</v>
      </c>
    </row>
    <row r="71" spans="1:7" x14ac:dyDescent="0.35">
      <c r="A71" s="29" t="s">
        <v>22</v>
      </c>
      <c r="B71" s="27" t="s">
        <v>45</v>
      </c>
      <c r="C71" s="5">
        <v>0.04</v>
      </c>
      <c r="D71" s="3">
        <f>C71*D25</f>
        <v>65.184799999999996</v>
      </c>
      <c r="E71" s="5">
        <v>0.04</v>
      </c>
      <c r="F71" s="3">
        <f>E71*F25</f>
        <v>65.184799999999996</v>
      </c>
    </row>
    <row r="72" spans="1:7" x14ac:dyDescent="0.35">
      <c r="A72" s="116" t="s">
        <v>9</v>
      </c>
      <c r="B72" s="116"/>
      <c r="C72" s="27"/>
      <c r="D72" s="4">
        <f>ROUND(SUM(D67:D71),2)</f>
        <v>116.68</v>
      </c>
      <c r="E72" s="27"/>
      <c r="F72" s="4">
        <f>ROUND(SUM(F67:F71),2)</f>
        <v>116.68</v>
      </c>
    </row>
    <row r="74" spans="1:7" ht="15" customHeight="1" x14ac:dyDescent="0.35"/>
    <row r="75" spans="1:7" ht="40" customHeight="1" x14ac:dyDescent="0.35">
      <c r="A75" s="96" t="s">
        <v>97</v>
      </c>
      <c r="B75" s="96"/>
      <c r="C75" s="96" t="str">
        <f>$C$19</f>
        <v>Copeiragem</v>
      </c>
      <c r="D75" s="96"/>
      <c r="E75" s="96" t="str">
        <f>$E$19</f>
        <v>Carregador</v>
      </c>
      <c r="F75" s="96"/>
    </row>
    <row r="76" spans="1:7" x14ac:dyDescent="0.35">
      <c r="A76" s="29" t="s">
        <v>46</v>
      </c>
      <c r="B76" s="29" t="s">
        <v>98</v>
      </c>
      <c r="C76" s="29" t="s">
        <v>13</v>
      </c>
      <c r="D76" s="29" t="s">
        <v>6</v>
      </c>
      <c r="E76" s="29" t="s">
        <v>13</v>
      </c>
      <c r="F76" s="29" t="s">
        <v>6</v>
      </c>
      <c r="G76" t="s">
        <v>153</v>
      </c>
    </row>
    <row r="77" spans="1:7" x14ac:dyDescent="0.35">
      <c r="A77" s="29" t="s">
        <v>0</v>
      </c>
      <c r="B77" s="27" t="s">
        <v>47</v>
      </c>
      <c r="C77" s="5">
        <f>12.1%-C31</f>
        <v>9.8888888888888915E-3</v>
      </c>
      <c r="D77" s="3">
        <f t="shared" ref="D77:D82" si="3">C77*($D$25+$D$59+$D$60+$D$72)</f>
        <v>27.485968888888891</v>
      </c>
      <c r="E77" s="5">
        <f>12.1%-E31</f>
        <v>9.8888888888888915E-3</v>
      </c>
      <c r="F77" s="3">
        <f t="shared" ref="F77:F82" si="4">E77*($F$25+$F$59+$F$60+$F$72)</f>
        <v>27.485968888888891</v>
      </c>
      <c r="G77" t="s">
        <v>154</v>
      </c>
    </row>
    <row r="78" spans="1:7" x14ac:dyDescent="0.35">
      <c r="A78" s="29" t="s">
        <v>1</v>
      </c>
      <c r="B78" s="27" t="s">
        <v>48</v>
      </c>
      <c r="C78" s="5">
        <f>(5.96/30)/12</f>
        <v>1.6555555555555556E-2</v>
      </c>
      <c r="D78" s="3">
        <f t="shared" si="3"/>
        <v>46.015835555555547</v>
      </c>
      <c r="E78" s="5">
        <f>(5.96/30)/12</f>
        <v>1.6555555555555556E-2</v>
      </c>
      <c r="F78" s="3">
        <f t="shared" si="4"/>
        <v>46.015835555555547</v>
      </c>
      <c r="G78" t="s">
        <v>155</v>
      </c>
    </row>
    <row r="79" spans="1:7" ht="15" customHeight="1" x14ac:dyDescent="0.35">
      <c r="A79" s="29" t="s">
        <v>2</v>
      </c>
      <c r="B79" s="27" t="s">
        <v>49</v>
      </c>
      <c r="C79" s="5">
        <f>((5/30)/12)*0.015</f>
        <v>2.0833333333333332E-4</v>
      </c>
      <c r="D79" s="3">
        <f t="shared" si="3"/>
        <v>0.57905833333333323</v>
      </c>
      <c r="E79" s="5">
        <f>((5/30)/12)*0.015</f>
        <v>2.0833333333333332E-4</v>
      </c>
      <c r="F79" s="3">
        <f t="shared" si="4"/>
        <v>0.57905833333333323</v>
      </c>
      <c r="G79" t="s">
        <v>136</v>
      </c>
    </row>
    <row r="80" spans="1:7" ht="15" customHeight="1" x14ac:dyDescent="0.35">
      <c r="A80" s="32" t="s">
        <v>3</v>
      </c>
      <c r="B80" s="9" t="s">
        <v>50</v>
      </c>
      <c r="C80" s="5">
        <f>(15/360)*0.44%</f>
        <v>1.8333333333333334E-4</v>
      </c>
      <c r="D80" s="3">
        <f t="shared" si="3"/>
        <v>0.50957133333333327</v>
      </c>
      <c r="E80" s="5">
        <f>(15/360)*0.44%</f>
        <v>1.8333333333333334E-4</v>
      </c>
      <c r="F80" s="3">
        <f t="shared" si="4"/>
        <v>0.50957133333333327</v>
      </c>
      <c r="G80" t="s">
        <v>156</v>
      </c>
    </row>
    <row r="81" spans="1:6" x14ac:dyDescent="0.35">
      <c r="A81" s="32" t="s">
        <v>22</v>
      </c>
      <c r="B81" s="9" t="s">
        <v>51</v>
      </c>
      <c r="C81" s="5">
        <f>50%*(4/12)*1.5%*(8.33%+11.11%)</f>
        <v>4.8599999999999989E-4</v>
      </c>
      <c r="D81" s="3">
        <f t="shared" si="3"/>
        <v>1.3508272799999994</v>
      </c>
      <c r="E81" s="5">
        <f>50%*(4/12)*1.5%*(8.33%+11.11%)</f>
        <v>4.8599999999999989E-4</v>
      </c>
      <c r="F81" s="3">
        <f t="shared" si="4"/>
        <v>1.3508272799999994</v>
      </c>
    </row>
    <row r="82" spans="1:6" x14ac:dyDescent="0.35">
      <c r="A82" s="29" t="s">
        <v>24</v>
      </c>
      <c r="B82" s="27" t="s">
        <v>52</v>
      </c>
      <c r="C82" s="6"/>
      <c r="D82" s="3">
        <f t="shared" si="3"/>
        <v>0</v>
      </c>
      <c r="E82" s="6"/>
      <c r="F82" s="3">
        <f t="shared" si="4"/>
        <v>0</v>
      </c>
    </row>
    <row r="83" spans="1:6" x14ac:dyDescent="0.35">
      <c r="A83" s="116" t="s">
        <v>9</v>
      </c>
      <c r="B83" s="116"/>
      <c r="C83" s="27"/>
      <c r="D83" s="4">
        <f>ROUND(SUM(D77:D82),2)</f>
        <v>75.94</v>
      </c>
      <c r="E83" s="27"/>
      <c r="F83" s="4">
        <f>ROUND(SUM(F77:F82),2)</f>
        <v>75.94</v>
      </c>
    </row>
    <row r="85" spans="1:6" ht="15" customHeight="1" x14ac:dyDescent="0.35"/>
    <row r="86" spans="1:6" ht="40" customHeight="1" x14ac:dyDescent="0.35">
      <c r="A86" s="96" t="s">
        <v>53</v>
      </c>
      <c r="B86" s="96"/>
      <c r="C86" s="96" t="str">
        <f>$C$19</f>
        <v>Copeiragem</v>
      </c>
      <c r="D86" s="96"/>
      <c r="E86" s="96" t="str">
        <f>$E$19</f>
        <v>Carregador</v>
      </c>
      <c r="F86" s="96"/>
    </row>
    <row r="87" spans="1:6" x14ac:dyDescent="0.35">
      <c r="A87" s="29" t="s">
        <v>54</v>
      </c>
      <c r="B87" s="29" t="s">
        <v>58</v>
      </c>
      <c r="C87" s="29"/>
      <c r="D87" s="29" t="s">
        <v>6</v>
      </c>
      <c r="E87" s="29"/>
      <c r="F87" s="29" t="s">
        <v>6</v>
      </c>
    </row>
    <row r="88" spans="1:6" ht="29" x14ac:dyDescent="0.35">
      <c r="A88" s="29" t="s">
        <v>0</v>
      </c>
      <c r="B88" s="9" t="s">
        <v>55</v>
      </c>
      <c r="C88" s="10"/>
      <c r="D88" s="3">
        <v>0</v>
      </c>
      <c r="E88" s="7"/>
      <c r="F88" s="3">
        <v>0</v>
      </c>
    </row>
    <row r="89" spans="1:6" x14ac:dyDescent="0.35">
      <c r="A89" s="116" t="s">
        <v>9</v>
      </c>
      <c r="B89" s="116"/>
      <c r="C89" s="27"/>
      <c r="D89" s="4">
        <f>SUM(D88:D88)</f>
        <v>0</v>
      </c>
      <c r="E89" s="27"/>
      <c r="F89" s="4">
        <f>SUM(F88:F88)</f>
        <v>0</v>
      </c>
    </row>
    <row r="91" spans="1:6" ht="15" customHeight="1" x14ac:dyDescent="0.35"/>
    <row r="92" spans="1:6" ht="40" customHeight="1" x14ac:dyDescent="0.35">
      <c r="A92" s="96" t="s">
        <v>56</v>
      </c>
      <c r="B92" s="96"/>
      <c r="C92" s="96" t="str">
        <f>$C$19</f>
        <v>Copeiragem</v>
      </c>
      <c r="D92" s="96"/>
      <c r="E92" s="96" t="str">
        <f>$E$19</f>
        <v>Carregador</v>
      </c>
      <c r="F92" s="96"/>
    </row>
    <row r="93" spans="1:6" x14ac:dyDescent="0.35">
      <c r="A93" s="29">
        <v>4</v>
      </c>
      <c r="B93" s="29" t="s">
        <v>99</v>
      </c>
      <c r="C93" s="29"/>
      <c r="D93" s="29" t="s">
        <v>6</v>
      </c>
      <c r="E93" s="29"/>
      <c r="F93" s="29" t="s">
        <v>6</v>
      </c>
    </row>
    <row r="94" spans="1:6" x14ac:dyDescent="0.35">
      <c r="A94" s="29" t="s">
        <v>46</v>
      </c>
      <c r="B94" s="27" t="s">
        <v>57</v>
      </c>
      <c r="C94" s="6"/>
      <c r="D94" s="28">
        <f>D83</f>
        <v>75.94</v>
      </c>
      <c r="E94" s="7"/>
      <c r="F94" s="28">
        <f>F83</f>
        <v>75.94</v>
      </c>
    </row>
    <row r="95" spans="1:6" x14ac:dyDescent="0.35">
      <c r="A95" s="29" t="s">
        <v>54</v>
      </c>
      <c r="B95" s="27" t="s">
        <v>58</v>
      </c>
      <c r="C95" s="6"/>
      <c r="D95" s="28">
        <f>D89</f>
        <v>0</v>
      </c>
      <c r="E95" s="7"/>
      <c r="F95" s="28">
        <f>F89</f>
        <v>0</v>
      </c>
    </row>
    <row r="96" spans="1:6" x14ac:dyDescent="0.35">
      <c r="A96" s="116" t="s">
        <v>9</v>
      </c>
      <c r="B96" s="116"/>
      <c r="C96" s="27"/>
      <c r="D96" s="4">
        <f>ROUND(SUM(D94:D95),2)</f>
        <v>75.94</v>
      </c>
      <c r="E96" s="27"/>
      <c r="F96" s="4">
        <f>ROUND(SUM(F94:F95),2)</f>
        <v>75.94</v>
      </c>
    </row>
    <row r="98" spans="1:7" ht="15" customHeight="1" x14ac:dyDescent="0.35"/>
    <row r="99" spans="1:7" ht="40" customHeight="1" x14ac:dyDescent="0.35">
      <c r="A99" s="96" t="s">
        <v>59</v>
      </c>
      <c r="B99" s="96"/>
      <c r="C99" s="96" t="str">
        <f>$C$19</f>
        <v>Copeiragem</v>
      </c>
      <c r="D99" s="96"/>
      <c r="E99" s="96" t="str">
        <f>$E$19</f>
        <v>Carregador</v>
      </c>
      <c r="F99" s="96"/>
    </row>
    <row r="100" spans="1:7" x14ac:dyDescent="0.35">
      <c r="A100" s="29">
        <v>5</v>
      </c>
      <c r="B100" s="29" t="s">
        <v>60</v>
      </c>
      <c r="C100" s="29"/>
      <c r="D100" s="29" t="s">
        <v>6</v>
      </c>
      <c r="E100" s="29"/>
      <c r="F100" s="29" t="s">
        <v>6</v>
      </c>
    </row>
    <row r="101" spans="1:7" x14ac:dyDescent="0.35">
      <c r="A101" s="29" t="s">
        <v>0</v>
      </c>
      <c r="B101" s="27" t="s">
        <v>273</v>
      </c>
      <c r="C101" s="6"/>
      <c r="D101" s="28">
        <f>Uniformes!B10</f>
        <v>78.349999999999994</v>
      </c>
      <c r="E101" s="7"/>
      <c r="F101" s="28">
        <f>Uniformes!B26</f>
        <v>163.51600000000002</v>
      </c>
    </row>
    <row r="102" spans="1:7" x14ac:dyDescent="0.35">
      <c r="A102" s="29" t="s">
        <v>1</v>
      </c>
      <c r="B102" s="27" t="s">
        <v>61</v>
      </c>
      <c r="C102" s="6"/>
      <c r="D102" s="83">
        <f>Mat_Ins_Copeiragem!L56</f>
        <v>973.40577777777764</v>
      </c>
      <c r="E102" s="7"/>
      <c r="F102" s="29"/>
    </row>
    <row r="103" spans="1:7" x14ac:dyDescent="0.35">
      <c r="A103" s="29" t="s">
        <v>2</v>
      </c>
      <c r="B103" s="27" t="s">
        <v>62</v>
      </c>
      <c r="C103" s="6"/>
      <c r="D103" s="29"/>
      <c r="E103" s="7"/>
      <c r="F103" s="29"/>
    </row>
    <row r="104" spans="1:7" x14ac:dyDescent="0.35">
      <c r="A104" s="32" t="s">
        <v>3</v>
      </c>
      <c r="B104" s="9" t="s">
        <v>8</v>
      </c>
      <c r="C104" s="6"/>
      <c r="D104" s="29"/>
      <c r="E104" s="7"/>
      <c r="F104" s="29"/>
    </row>
    <row r="105" spans="1:7" x14ac:dyDescent="0.35">
      <c r="A105" s="116" t="s">
        <v>9</v>
      </c>
      <c r="B105" s="116"/>
      <c r="C105" s="27"/>
      <c r="D105" s="4">
        <f>ROUND(SUM(D101:D104),2)</f>
        <v>1051.76</v>
      </c>
      <c r="E105" s="27"/>
      <c r="F105" s="4">
        <f>ROUND(SUM(F101:F104),2)</f>
        <v>163.52000000000001</v>
      </c>
    </row>
    <row r="107" spans="1:7" ht="15" customHeight="1" x14ac:dyDescent="0.35"/>
    <row r="108" spans="1:7" ht="40" customHeight="1" x14ac:dyDescent="0.35">
      <c r="A108" s="96" t="s">
        <v>63</v>
      </c>
      <c r="B108" s="96"/>
      <c r="C108" s="96" t="str">
        <f>$C$19</f>
        <v>Copeiragem</v>
      </c>
      <c r="D108" s="96"/>
      <c r="E108" s="96" t="str">
        <f>$E$19</f>
        <v>Carregador</v>
      </c>
      <c r="F108" s="96"/>
    </row>
    <row r="109" spans="1:7" x14ac:dyDescent="0.35">
      <c r="A109" s="29">
        <v>6</v>
      </c>
      <c r="B109" s="29" t="s">
        <v>100</v>
      </c>
      <c r="C109" s="29" t="s">
        <v>13</v>
      </c>
      <c r="D109" s="29" t="s">
        <v>6</v>
      </c>
      <c r="E109" s="29" t="s">
        <v>13</v>
      </c>
      <c r="F109" s="29" t="s">
        <v>6</v>
      </c>
      <c r="G109" t="s">
        <v>137</v>
      </c>
    </row>
    <row r="110" spans="1:7" x14ac:dyDescent="0.35">
      <c r="A110" s="29" t="s">
        <v>0</v>
      </c>
      <c r="B110" s="27" t="s">
        <v>64</v>
      </c>
      <c r="C110" s="5">
        <f>ROUND(LDI!$B$10,2)</f>
        <v>0.01</v>
      </c>
      <c r="D110" s="28">
        <f>ROUND(D125*C110,2)</f>
        <v>49.27</v>
      </c>
      <c r="E110" s="5">
        <f>ROUND(LDI!$B$10,2)</f>
        <v>0.01</v>
      </c>
      <c r="F110" s="28">
        <f>ROUND(F125*E110,2)</f>
        <v>40.380000000000003</v>
      </c>
      <c r="G110" t="s">
        <v>393</v>
      </c>
    </row>
    <row r="111" spans="1:7" x14ac:dyDescent="0.35">
      <c r="A111" s="29" t="s">
        <v>1</v>
      </c>
      <c r="B111" s="27" t="s">
        <v>65</v>
      </c>
      <c r="C111" s="5">
        <v>0.1</v>
      </c>
      <c r="D111" s="28">
        <f>ROUND((D125+D110)*C111,2)</f>
        <v>497.59</v>
      </c>
      <c r="E111" s="5">
        <v>0.1</v>
      </c>
      <c r="F111" s="28">
        <f>ROUND((F125+F110)*E111,2)</f>
        <v>407.87</v>
      </c>
    </row>
    <row r="112" spans="1:7" x14ac:dyDescent="0.35">
      <c r="A112" s="29" t="s">
        <v>2</v>
      </c>
      <c r="B112" s="27" t="s">
        <v>66</v>
      </c>
      <c r="C112" s="5">
        <f t="shared" ref="C112:F112" si="5">SUM(C113:C115)</f>
        <v>0.14250000000000002</v>
      </c>
      <c r="D112" s="28">
        <f t="shared" si="5"/>
        <v>909.58</v>
      </c>
      <c r="E112" s="5">
        <f t="shared" si="5"/>
        <v>0.14250000000000002</v>
      </c>
      <c r="F112" s="28">
        <f t="shared" si="5"/>
        <v>745.58999999999992</v>
      </c>
      <c r="G112" t="s">
        <v>173</v>
      </c>
    </row>
    <row r="113" spans="1:7" x14ac:dyDescent="0.35">
      <c r="A113" s="32" t="s">
        <v>67</v>
      </c>
      <c r="B113" s="9" t="s">
        <v>68</v>
      </c>
      <c r="C113" s="5">
        <v>1.6500000000000001E-2</v>
      </c>
      <c r="D113" s="28">
        <f>ROUND(C113*D127,2)</f>
        <v>105.32</v>
      </c>
      <c r="E113" s="5">
        <v>1.6500000000000001E-2</v>
      </c>
      <c r="F113" s="28">
        <f>ROUND(E113*F127,2)</f>
        <v>86.33</v>
      </c>
      <c r="G113" t="s">
        <v>174</v>
      </c>
    </row>
    <row r="114" spans="1:7" x14ac:dyDescent="0.35">
      <c r="A114" s="32" t="s">
        <v>69</v>
      </c>
      <c r="B114" s="9" t="s">
        <v>70</v>
      </c>
      <c r="C114" s="5">
        <v>7.5999999999999998E-2</v>
      </c>
      <c r="D114" s="28">
        <f>ROUND(C114*D127,2)</f>
        <v>485.11</v>
      </c>
      <c r="E114" s="5">
        <v>7.5999999999999998E-2</v>
      </c>
      <c r="F114" s="28">
        <f>ROUND(E114*F127,2)</f>
        <v>397.65</v>
      </c>
      <c r="G114" t="s">
        <v>175</v>
      </c>
    </row>
    <row r="115" spans="1:7" x14ac:dyDescent="0.35">
      <c r="A115" s="29" t="s">
        <v>71</v>
      </c>
      <c r="B115" s="27" t="s">
        <v>72</v>
      </c>
      <c r="C115" s="5">
        <v>0.05</v>
      </c>
      <c r="D115" s="28">
        <f>ROUND(C115*D127,2)</f>
        <v>319.14999999999998</v>
      </c>
      <c r="E115" s="5">
        <v>0.05</v>
      </c>
      <c r="F115" s="28">
        <f>ROUND(E115*F127,2)</f>
        <v>261.61</v>
      </c>
    </row>
    <row r="116" spans="1:7" x14ac:dyDescent="0.35">
      <c r="A116" s="116" t="s">
        <v>9</v>
      </c>
      <c r="B116" s="116"/>
      <c r="C116" s="27"/>
      <c r="D116" s="4">
        <f>ROUND(SUM(D110+D111+D112),2)</f>
        <v>1456.44</v>
      </c>
      <c r="E116" s="27"/>
      <c r="F116" s="4">
        <f>ROUND(SUM(F110+F111+F112),2)</f>
        <v>1193.8399999999999</v>
      </c>
    </row>
    <row r="117" spans="1:7" ht="15" customHeight="1" x14ac:dyDescent="0.35">
      <c r="A117" s="33"/>
      <c r="B117" s="33"/>
      <c r="D117" s="11"/>
      <c r="F117" s="11"/>
    </row>
    <row r="118" spans="1:7" ht="40" customHeight="1" x14ac:dyDescent="0.35">
      <c r="A118" s="96" t="s">
        <v>73</v>
      </c>
      <c r="B118" s="96"/>
      <c r="C118" s="96" t="str">
        <f>$C$19</f>
        <v>Copeiragem</v>
      </c>
      <c r="D118" s="96"/>
      <c r="E118" s="96" t="str">
        <f>$E$19</f>
        <v>Carregador</v>
      </c>
      <c r="F118" s="96"/>
    </row>
    <row r="119" spans="1:7" x14ac:dyDescent="0.35">
      <c r="A119" s="123" t="s">
        <v>74</v>
      </c>
      <c r="B119" s="123"/>
      <c r="C119" s="29" t="s">
        <v>13</v>
      </c>
      <c r="D119" s="29" t="s">
        <v>6</v>
      </c>
      <c r="E119" s="29" t="s">
        <v>13</v>
      </c>
      <c r="F119" s="29" t="s">
        <v>6</v>
      </c>
    </row>
    <row r="120" spans="1:7" x14ac:dyDescent="0.35">
      <c r="A120" s="29" t="s">
        <v>0</v>
      </c>
      <c r="B120" s="27" t="s">
        <v>75</v>
      </c>
      <c r="C120" s="7">
        <f>(D120/$D$127)</f>
        <v>0.25530453314722307</v>
      </c>
      <c r="D120" s="28">
        <f>D25</f>
        <v>1629.62</v>
      </c>
      <c r="E120" s="34">
        <f>F120/$F$127</f>
        <v>0.31145991071209655</v>
      </c>
      <c r="F120" s="28">
        <f>F25</f>
        <v>1629.62</v>
      </c>
    </row>
    <row r="121" spans="1:7" x14ac:dyDescent="0.35">
      <c r="A121" s="29" t="s">
        <v>1</v>
      </c>
      <c r="B121" s="27" t="s">
        <v>76</v>
      </c>
      <c r="C121" s="7">
        <f t="shared" ref="C121:C126" si="6">(D121/$D$127)</f>
        <v>0.32157072491623206</v>
      </c>
      <c r="D121" s="28">
        <f>D62</f>
        <v>2052.6</v>
      </c>
      <c r="E121" s="34">
        <f>F121/$F$127</f>
        <v>0.39230164868352713</v>
      </c>
      <c r="F121" s="28">
        <f>F62</f>
        <v>2052.6</v>
      </c>
    </row>
    <row r="122" spans="1:7" x14ac:dyDescent="0.35">
      <c r="A122" s="29" t="s">
        <v>2</v>
      </c>
      <c r="B122" s="27" t="s">
        <v>77</v>
      </c>
      <c r="C122" s="7">
        <f t="shared" si="6"/>
        <v>1.827968049460487E-2</v>
      </c>
      <c r="D122" s="28">
        <f>D72</f>
        <v>116.68</v>
      </c>
      <c r="E122" s="34">
        <f>F122/$F$127</f>
        <v>2.230037823657505E-2</v>
      </c>
      <c r="F122" s="28">
        <f>F72</f>
        <v>116.68</v>
      </c>
    </row>
    <row r="123" spans="1:7" x14ac:dyDescent="0.35">
      <c r="A123" s="32" t="s">
        <v>3</v>
      </c>
      <c r="B123" s="9" t="s">
        <v>78</v>
      </c>
      <c r="C123" s="7">
        <f t="shared" si="6"/>
        <v>1.1897145498459837E-2</v>
      </c>
      <c r="D123" s="28">
        <f>D96</f>
        <v>75.94</v>
      </c>
      <c r="E123" s="34">
        <f>F123/$F$127</f>
        <v>1.4513976030900834E-2</v>
      </c>
      <c r="F123" s="28">
        <f>F96</f>
        <v>75.94</v>
      </c>
    </row>
    <row r="124" spans="1:7" x14ac:dyDescent="0.35">
      <c r="A124" s="32" t="s">
        <v>22</v>
      </c>
      <c r="B124" s="9" t="s">
        <v>79</v>
      </c>
      <c r="C124" s="7">
        <f t="shared" si="6"/>
        <v>0.16477405516802895</v>
      </c>
      <c r="D124" s="28">
        <f>D105</f>
        <v>1051.76</v>
      </c>
      <c r="E124" s="34">
        <f>F124/$F$127</f>
        <v>3.1252638406280016E-2</v>
      </c>
      <c r="F124" s="28">
        <f>F105</f>
        <v>163.52000000000001</v>
      </c>
    </row>
    <row r="125" spans="1:7" x14ac:dyDescent="0.35">
      <c r="A125" s="125" t="s">
        <v>80</v>
      </c>
      <c r="B125" s="125"/>
      <c r="C125" s="7"/>
      <c r="D125" s="35">
        <f>ROUND(SUM(D120:D124),2)</f>
        <v>4926.6000000000004</v>
      </c>
      <c r="E125" s="34"/>
      <c r="F125" s="35">
        <f>ROUND(SUM(F120:F124),2)</f>
        <v>4038.36</v>
      </c>
    </row>
    <row r="126" spans="1:7" x14ac:dyDescent="0.35">
      <c r="A126" s="32" t="s">
        <v>24</v>
      </c>
      <c r="B126" s="36" t="s">
        <v>63</v>
      </c>
      <c r="C126" s="7">
        <f t="shared" si="6"/>
        <v>0.2281732761361186</v>
      </c>
      <c r="D126" s="28">
        <f>D116</f>
        <v>1456.44</v>
      </c>
      <c r="E126" s="34">
        <f>F126/$F$127</f>
        <v>0.22817178225876547</v>
      </c>
      <c r="F126" s="28">
        <f>F116</f>
        <v>1193.8399999999999</v>
      </c>
    </row>
    <row r="127" spans="1:7" x14ac:dyDescent="0.35">
      <c r="A127" s="125" t="s">
        <v>81</v>
      </c>
      <c r="B127" s="125"/>
      <c r="C127" s="37">
        <f>SUM(C120:C126)</f>
        <v>0.99999941536066728</v>
      </c>
      <c r="D127" s="35">
        <f>(D125+D110+D111)/(1-C112)</f>
        <v>6383.0437317784272</v>
      </c>
      <c r="E127" s="34">
        <f>SUM(E120:E126)</f>
        <v>1.0000003343281452</v>
      </c>
      <c r="F127" s="35">
        <f>(F125+F110+F111)/(1-E112)</f>
        <v>5232.198250728864</v>
      </c>
    </row>
    <row r="128" spans="1:7" x14ac:dyDescent="0.35">
      <c r="D128" s="38">
        <f>D127/D120</f>
        <v>3.9168908897647472</v>
      </c>
      <c r="E128" s="38"/>
      <c r="F128" s="38">
        <f>F127/F120</f>
        <v>3.2106860806377342</v>
      </c>
    </row>
    <row r="129" spans="1:12" ht="15" customHeight="1" x14ac:dyDescent="0.35">
      <c r="D129" s="38">
        <f>(D127-D120)/D120</f>
        <v>2.9168908897647472</v>
      </c>
      <c r="E129" s="38"/>
      <c r="F129" s="38">
        <f>(F127-F120)/F120</f>
        <v>2.2106860806377342</v>
      </c>
    </row>
    <row r="130" spans="1:12" ht="40" customHeight="1" x14ac:dyDescent="0.35">
      <c r="A130" s="96" t="s">
        <v>353</v>
      </c>
      <c r="B130" s="96"/>
      <c r="C130" s="96"/>
      <c r="D130" s="96"/>
      <c r="E130" s="96"/>
      <c r="F130" s="96"/>
      <c r="G130" s="96"/>
      <c r="H130" s="96"/>
      <c r="I130" s="96"/>
      <c r="J130" s="96"/>
      <c r="K130" s="96"/>
      <c r="L130" s="96"/>
    </row>
    <row r="131" spans="1:12" x14ac:dyDescent="0.35">
      <c r="A131" s="96" t="s">
        <v>82</v>
      </c>
      <c r="B131" s="96"/>
      <c r="C131" s="96" t="s">
        <v>83</v>
      </c>
      <c r="D131" s="96"/>
      <c r="E131" s="96" t="s">
        <v>84</v>
      </c>
      <c r="F131" s="96"/>
      <c r="G131" s="96" t="s">
        <v>85</v>
      </c>
      <c r="H131" s="96"/>
      <c r="I131" s="96" t="s">
        <v>86</v>
      </c>
      <c r="J131" s="96"/>
      <c r="K131" s="96" t="s">
        <v>87</v>
      </c>
      <c r="L131" s="96"/>
    </row>
    <row r="132" spans="1:12" x14ac:dyDescent="0.35">
      <c r="A132" s="29" t="s">
        <v>88</v>
      </c>
      <c r="B132" s="39" t="str">
        <f>C19</f>
        <v>Copeiragem</v>
      </c>
      <c r="C132" s="126">
        <f>ROUND(D127,2)</f>
        <v>6383.04</v>
      </c>
      <c r="D132" s="126"/>
      <c r="E132" s="127">
        <v>1</v>
      </c>
      <c r="F132" s="127"/>
      <c r="G132" s="126">
        <f>(C132*E132)</f>
        <v>6383.04</v>
      </c>
      <c r="H132" s="126"/>
      <c r="I132" s="127">
        <v>13</v>
      </c>
      <c r="J132" s="127"/>
      <c r="K132" s="126">
        <f>G132*I132</f>
        <v>82979.520000000004</v>
      </c>
      <c r="L132" s="126"/>
    </row>
    <row r="133" spans="1:12" x14ac:dyDescent="0.35">
      <c r="A133" s="29" t="s">
        <v>89</v>
      </c>
      <c r="B133" s="39" t="str">
        <f>E19</f>
        <v>Carregador</v>
      </c>
      <c r="C133" s="126">
        <f>ROUND(F127,2)</f>
        <v>5232.2</v>
      </c>
      <c r="D133" s="126"/>
      <c r="E133" s="127">
        <v>1</v>
      </c>
      <c r="F133" s="127"/>
      <c r="G133" s="130">
        <f t="shared" ref="G133" si="7">(C133*E133)</f>
        <v>5232.2</v>
      </c>
      <c r="H133" s="130"/>
      <c r="I133" s="127">
        <v>3</v>
      </c>
      <c r="J133" s="127"/>
      <c r="K133" s="126">
        <f t="shared" ref="K133" si="8">G133*I133</f>
        <v>15696.599999999999</v>
      </c>
      <c r="L133" s="126"/>
    </row>
    <row r="134" spans="1:12" x14ac:dyDescent="0.35">
      <c r="A134" s="131" t="s">
        <v>93</v>
      </c>
      <c r="B134" s="131"/>
      <c r="C134" s="123"/>
      <c r="D134" s="123"/>
      <c r="E134" s="123"/>
      <c r="F134" s="123"/>
      <c r="G134" s="123"/>
      <c r="H134" s="123"/>
      <c r="I134" s="127">
        <f>SUM(I132:I133)</f>
        <v>16</v>
      </c>
      <c r="J134" s="127"/>
      <c r="K134" s="132">
        <f>SUM(K132:K133)</f>
        <v>98676.12</v>
      </c>
      <c r="L134" s="132"/>
    </row>
    <row r="135" spans="1:12" x14ac:dyDescent="0.35">
      <c r="A135" s="131" t="s">
        <v>200</v>
      </c>
      <c r="B135" s="131"/>
      <c r="C135" s="123"/>
      <c r="D135" s="123"/>
      <c r="E135" s="123"/>
      <c r="F135" s="123"/>
      <c r="G135" s="123"/>
      <c r="H135" s="123"/>
      <c r="I135" s="123"/>
      <c r="J135" s="123"/>
      <c r="K135" s="132">
        <f>K134*12</f>
        <v>1184113.44</v>
      </c>
      <c r="L135" s="132"/>
    </row>
    <row r="136" spans="1:12" x14ac:dyDescent="0.35">
      <c r="A136" s="131" t="s">
        <v>201</v>
      </c>
      <c r="B136" s="131"/>
      <c r="C136" s="123"/>
      <c r="D136" s="123"/>
      <c r="E136" s="123"/>
      <c r="F136" s="123"/>
      <c r="G136" s="123"/>
      <c r="H136" s="123"/>
      <c r="I136" s="123"/>
      <c r="J136" s="123"/>
      <c r="K136" s="132">
        <f>K134*30</f>
        <v>2960283.5999999996</v>
      </c>
      <c r="L136" s="132"/>
    </row>
  </sheetData>
  <mergeCells count="106">
    <mergeCell ref="C5:D5"/>
    <mergeCell ref="E5:F5"/>
    <mergeCell ref="C4:D4"/>
    <mergeCell ref="E4:F4"/>
    <mergeCell ref="C3:D3"/>
    <mergeCell ref="E3:F3"/>
    <mergeCell ref="C2:D2"/>
    <mergeCell ref="E2:F2"/>
    <mergeCell ref="C14:D14"/>
    <mergeCell ref="E14:F14"/>
    <mergeCell ref="C13:D13"/>
    <mergeCell ref="E13:F13"/>
    <mergeCell ref="C10:D10"/>
    <mergeCell ref="E10:F10"/>
    <mergeCell ref="C9:D9"/>
    <mergeCell ref="E9:F9"/>
    <mergeCell ref="C8:D8"/>
    <mergeCell ref="E8:F8"/>
    <mergeCell ref="A19:B19"/>
    <mergeCell ref="C19:D19"/>
    <mergeCell ref="E19:F19"/>
    <mergeCell ref="C17:D17"/>
    <mergeCell ref="E17:F17"/>
    <mergeCell ref="C16:D16"/>
    <mergeCell ref="E16:F16"/>
    <mergeCell ref="C15:D15"/>
    <mergeCell ref="E15:F15"/>
    <mergeCell ref="A45:B45"/>
    <mergeCell ref="A48:B48"/>
    <mergeCell ref="C48:D48"/>
    <mergeCell ref="E48:F48"/>
    <mergeCell ref="A32:B32"/>
    <mergeCell ref="A35:B35"/>
    <mergeCell ref="C35:D35"/>
    <mergeCell ref="E35:F35"/>
    <mergeCell ref="A25:B25"/>
    <mergeCell ref="A28:B28"/>
    <mergeCell ref="C28:D28"/>
    <mergeCell ref="E28:F28"/>
    <mergeCell ref="A62:B62"/>
    <mergeCell ref="A65:B65"/>
    <mergeCell ref="C65:D65"/>
    <mergeCell ref="E65:F65"/>
    <mergeCell ref="E57:F57"/>
    <mergeCell ref="A51:A52"/>
    <mergeCell ref="B51:B52"/>
    <mergeCell ref="A54:B54"/>
    <mergeCell ref="A57:B57"/>
    <mergeCell ref="C57:D57"/>
    <mergeCell ref="A89:B89"/>
    <mergeCell ref="A92:B92"/>
    <mergeCell ref="C92:D92"/>
    <mergeCell ref="E92:F92"/>
    <mergeCell ref="A83:B83"/>
    <mergeCell ref="A86:B86"/>
    <mergeCell ref="C86:D86"/>
    <mergeCell ref="E86:F86"/>
    <mergeCell ref="A72:B72"/>
    <mergeCell ref="A75:B75"/>
    <mergeCell ref="C75:D75"/>
    <mergeCell ref="E75:F75"/>
    <mergeCell ref="A116:B116"/>
    <mergeCell ref="A118:B118"/>
    <mergeCell ref="C118:D118"/>
    <mergeCell ref="E118:F118"/>
    <mergeCell ref="A105:B105"/>
    <mergeCell ref="A108:B108"/>
    <mergeCell ref="C108:D108"/>
    <mergeCell ref="E108:F108"/>
    <mergeCell ref="A96:B96"/>
    <mergeCell ref="A99:B99"/>
    <mergeCell ref="C99:D99"/>
    <mergeCell ref="E99:F99"/>
    <mergeCell ref="A125:B125"/>
    <mergeCell ref="A127:B127"/>
    <mergeCell ref="A130:L130"/>
    <mergeCell ref="A131:B131"/>
    <mergeCell ref="C131:D131"/>
    <mergeCell ref="E131:F131"/>
    <mergeCell ref="G131:H131"/>
    <mergeCell ref="I131:J131"/>
    <mergeCell ref="K131:L131"/>
    <mergeCell ref="A136:B136"/>
    <mergeCell ref="C136:J136"/>
    <mergeCell ref="K136:L136"/>
    <mergeCell ref="A1:F1"/>
    <mergeCell ref="A7:F7"/>
    <mergeCell ref="A12:F12"/>
    <mergeCell ref="A134:B134"/>
    <mergeCell ref="C134:H134"/>
    <mergeCell ref="I134:J134"/>
    <mergeCell ref="K134:L134"/>
    <mergeCell ref="A135:B135"/>
    <mergeCell ref="C135:J135"/>
    <mergeCell ref="K135:L135"/>
    <mergeCell ref="C133:D133"/>
    <mergeCell ref="E133:F133"/>
    <mergeCell ref="G133:H133"/>
    <mergeCell ref="I133:J133"/>
    <mergeCell ref="K133:L133"/>
    <mergeCell ref="C132:D132"/>
    <mergeCell ref="E132:F132"/>
    <mergeCell ref="G132:H132"/>
    <mergeCell ref="I132:J132"/>
    <mergeCell ref="K132:L132"/>
    <mergeCell ref="A119:B119"/>
  </mergeCells>
  <pageMargins left="0.51180555555555496" right="0.51180555555555496" top="0.78749999999999998" bottom="0.78749999999999998" header="0.51180555555555496" footer="0.51180555555555496"/>
  <pageSetup paperSize="9" scale="18" firstPageNumber="0" orientation="portrait"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7BD554-35A4-4584-9335-6AB52F793366}">
  <sheetPr>
    <pageSetUpPr fitToPage="1"/>
  </sheetPr>
  <dimension ref="A1:V139"/>
  <sheetViews>
    <sheetView showGridLines="0" topLeftCell="D106" zoomScaleNormal="100" workbookViewId="0">
      <selection activeCell="M110" sqref="M110"/>
    </sheetView>
  </sheetViews>
  <sheetFormatPr defaultRowHeight="14.5" x14ac:dyDescent="0.35"/>
  <cols>
    <col min="1" max="1" width="12.26953125" customWidth="1"/>
    <col min="2" max="2" width="54.81640625" customWidth="1"/>
    <col min="3" max="3" width="13.7265625" customWidth="1"/>
    <col min="4" max="4" width="17.7265625" customWidth="1"/>
    <col min="5" max="5" width="13.7265625" customWidth="1"/>
    <col min="6" max="6" width="17.7265625" customWidth="1"/>
    <col min="7" max="7" width="13.7265625" customWidth="1"/>
    <col min="8" max="8" width="17.7265625" customWidth="1"/>
    <col min="9" max="9" width="13.7265625" customWidth="1"/>
    <col min="10" max="10" width="17.7265625" customWidth="1"/>
    <col min="11" max="11" width="13.7265625" customWidth="1"/>
    <col min="12" max="12" width="17.7265625" customWidth="1"/>
    <col min="13" max="13" width="13.7265625" customWidth="1"/>
    <col min="14" max="20" width="17.7265625" customWidth="1"/>
    <col min="21" max="21" width="13.7265625" customWidth="1"/>
    <col min="22" max="22" width="17.7265625" customWidth="1"/>
    <col min="23" max="23" width="13.7265625" customWidth="1"/>
    <col min="24" max="24" width="17.7265625" customWidth="1"/>
    <col min="25" max="25" width="13.7265625" customWidth="1"/>
    <col min="26" max="26" width="17.7265625" customWidth="1"/>
    <col min="27" max="27" width="13.7265625" customWidth="1"/>
    <col min="28" max="28" width="17.7265625" customWidth="1"/>
    <col min="29" max="33" width="8.7265625" customWidth="1"/>
    <col min="35" max="1029" width="8.7265625" customWidth="1"/>
  </cols>
  <sheetData>
    <row r="1" spans="1:12" x14ac:dyDescent="0.35">
      <c r="A1" s="90" t="s">
        <v>218</v>
      </c>
      <c r="B1" s="90"/>
      <c r="C1" s="90"/>
      <c r="D1" s="90"/>
      <c r="E1" s="90"/>
      <c r="F1" s="90"/>
      <c r="G1" s="90"/>
      <c r="H1" s="90"/>
      <c r="I1" s="90"/>
      <c r="J1" s="90"/>
      <c r="K1" s="90"/>
      <c r="L1" s="90"/>
    </row>
    <row r="2" spans="1:12" x14ac:dyDescent="0.35">
      <c r="A2" s="29" t="s">
        <v>0</v>
      </c>
      <c r="B2" s="27" t="s">
        <v>219</v>
      </c>
      <c r="C2" s="118" t="s">
        <v>233</v>
      </c>
      <c r="D2" s="119" t="s">
        <v>232</v>
      </c>
      <c r="E2" s="118" t="s">
        <v>233</v>
      </c>
      <c r="F2" s="119" t="s">
        <v>235</v>
      </c>
      <c r="G2" s="118" t="s">
        <v>233</v>
      </c>
      <c r="H2" s="119" t="s">
        <v>235</v>
      </c>
      <c r="I2" s="118" t="s">
        <v>233</v>
      </c>
      <c r="J2" s="119" t="s">
        <v>235</v>
      </c>
      <c r="K2" s="118" t="s">
        <v>233</v>
      </c>
      <c r="L2" s="119" t="s">
        <v>235</v>
      </c>
    </row>
    <row r="3" spans="1:12" x14ac:dyDescent="0.35">
      <c r="A3" s="29" t="s">
        <v>1</v>
      </c>
      <c r="B3" s="27" t="s">
        <v>220</v>
      </c>
      <c r="C3" s="97" t="s">
        <v>234</v>
      </c>
      <c r="D3" s="99" t="s">
        <v>234</v>
      </c>
      <c r="E3" s="97" t="s">
        <v>234</v>
      </c>
      <c r="F3" s="99" t="s">
        <v>234</v>
      </c>
      <c r="G3" s="97" t="s">
        <v>234</v>
      </c>
      <c r="H3" s="99" t="s">
        <v>234</v>
      </c>
      <c r="I3" s="97" t="s">
        <v>234</v>
      </c>
      <c r="J3" s="99" t="s">
        <v>234</v>
      </c>
      <c r="K3" s="97" t="s">
        <v>234</v>
      </c>
      <c r="L3" s="99" t="s">
        <v>234</v>
      </c>
    </row>
    <row r="4" spans="1:12" x14ac:dyDescent="0.35">
      <c r="A4" s="29" t="s">
        <v>2</v>
      </c>
      <c r="B4" s="27" t="s">
        <v>221</v>
      </c>
      <c r="C4" s="118">
        <v>2024</v>
      </c>
      <c r="D4" s="119"/>
      <c r="E4" s="118">
        <v>2024</v>
      </c>
      <c r="F4" s="119"/>
      <c r="G4" s="118">
        <v>2024</v>
      </c>
      <c r="H4" s="119"/>
      <c r="I4" s="118">
        <v>2024</v>
      </c>
      <c r="J4" s="119"/>
      <c r="K4" s="118">
        <v>2024</v>
      </c>
      <c r="L4" s="119"/>
    </row>
    <row r="5" spans="1:12" x14ac:dyDescent="0.35">
      <c r="A5" s="29" t="s">
        <v>3</v>
      </c>
      <c r="B5" s="27" t="s">
        <v>222</v>
      </c>
      <c r="C5" s="118">
        <v>12</v>
      </c>
      <c r="D5" s="119"/>
      <c r="E5" s="118">
        <v>12</v>
      </c>
      <c r="F5" s="119"/>
      <c r="G5" s="118">
        <v>12</v>
      </c>
      <c r="H5" s="119"/>
      <c r="I5" s="118">
        <v>12</v>
      </c>
      <c r="J5" s="119"/>
      <c r="K5" s="118">
        <v>12</v>
      </c>
      <c r="L5" s="119"/>
    </row>
    <row r="7" spans="1:12" ht="14.5" customHeight="1" x14ac:dyDescent="0.35">
      <c r="A7" s="90" t="s">
        <v>223</v>
      </c>
      <c r="B7" s="90"/>
      <c r="C7" s="90"/>
      <c r="D7" s="90"/>
      <c r="E7" s="90"/>
      <c r="F7" s="90"/>
      <c r="G7" s="90"/>
      <c r="H7" s="90"/>
      <c r="I7" s="90"/>
      <c r="J7" s="90"/>
      <c r="K7" s="90"/>
      <c r="L7" s="90"/>
    </row>
    <row r="8" spans="1:12" x14ac:dyDescent="0.35">
      <c r="A8" s="29">
        <v>1</v>
      </c>
      <c r="B8" s="36" t="s">
        <v>224</v>
      </c>
      <c r="C8" s="97" t="s">
        <v>214</v>
      </c>
      <c r="D8" s="99"/>
      <c r="E8" s="97" t="s">
        <v>191</v>
      </c>
      <c r="F8" s="99"/>
      <c r="G8" s="97" t="s">
        <v>312</v>
      </c>
      <c r="H8" s="99"/>
      <c r="I8" s="97" t="s">
        <v>308</v>
      </c>
      <c r="J8" s="99"/>
      <c r="K8" s="97" t="s">
        <v>309</v>
      </c>
      <c r="L8" s="99"/>
    </row>
    <row r="9" spans="1:12" x14ac:dyDescent="0.35">
      <c r="A9" s="29" t="s">
        <v>0</v>
      </c>
      <c r="B9" s="27" t="s">
        <v>225</v>
      </c>
      <c r="C9" s="118" t="s">
        <v>236</v>
      </c>
      <c r="D9" s="119"/>
      <c r="E9" s="118" t="s">
        <v>236</v>
      </c>
      <c r="F9" s="119"/>
      <c r="G9" s="118" t="s">
        <v>236</v>
      </c>
      <c r="H9" s="119"/>
      <c r="I9" s="118" t="s">
        <v>236</v>
      </c>
      <c r="J9" s="119"/>
      <c r="K9" s="118" t="s">
        <v>236</v>
      </c>
      <c r="L9" s="119"/>
    </row>
    <row r="10" spans="1:12" x14ac:dyDescent="0.35">
      <c r="A10" s="29" t="s">
        <v>1</v>
      </c>
      <c r="B10" s="27" t="s">
        <v>226</v>
      </c>
      <c r="C10" s="118">
        <v>1</v>
      </c>
      <c r="D10" s="119"/>
      <c r="E10" s="118">
        <v>1</v>
      </c>
      <c r="F10" s="119"/>
      <c r="G10" s="118">
        <v>1</v>
      </c>
      <c r="H10" s="119"/>
      <c r="I10" s="118">
        <v>1</v>
      </c>
      <c r="J10" s="119"/>
      <c r="K10" s="118">
        <v>1</v>
      </c>
      <c r="L10" s="119"/>
    </row>
    <row r="11" spans="1:12" x14ac:dyDescent="0.35">
      <c r="A11" s="14"/>
      <c r="C11" s="61"/>
      <c r="D11" s="62"/>
      <c r="E11" s="61"/>
      <c r="F11" s="62"/>
      <c r="G11" s="62"/>
      <c r="H11" s="62"/>
      <c r="I11" s="62"/>
      <c r="J11" s="62"/>
      <c r="K11" s="62"/>
      <c r="L11" s="62"/>
    </row>
    <row r="12" spans="1:12" ht="14.5" customHeight="1" x14ac:dyDescent="0.35">
      <c r="A12" s="87" t="s">
        <v>231</v>
      </c>
      <c r="B12" s="88"/>
      <c r="C12" s="88"/>
      <c r="D12" s="88"/>
      <c r="E12" s="88"/>
      <c r="F12" s="88"/>
      <c r="G12" s="88"/>
      <c r="H12" s="88"/>
      <c r="I12" s="88"/>
      <c r="J12" s="88"/>
      <c r="K12" s="88"/>
      <c r="L12" s="88"/>
    </row>
    <row r="13" spans="1:12" x14ac:dyDescent="0.35">
      <c r="A13" s="29">
        <v>1</v>
      </c>
      <c r="B13" s="27" t="s">
        <v>227</v>
      </c>
      <c r="C13" s="135" t="s">
        <v>214</v>
      </c>
      <c r="D13" s="136"/>
      <c r="E13" s="135" t="s">
        <v>191</v>
      </c>
      <c r="F13" s="136"/>
      <c r="G13" s="135" t="s">
        <v>312</v>
      </c>
      <c r="H13" s="136"/>
      <c r="I13" s="97" t="s">
        <v>308</v>
      </c>
      <c r="J13" s="99"/>
      <c r="K13" s="97" t="s">
        <v>309</v>
      </c>
      <c r="L13" s="99"/>
    </row>
    <row r="14" spans="1:12" x14ac:dyDescent="0.35">
      <c r="A14" s="29">
        <v>2</v>
      </c>
      <c r="B14" s="27" t="s">
        <v>228</v>
      </c>
      <c r="C14" s="118" t="s">
        <v>239</v>
      </c>
      <c r="D14" s="119"/>
      <c r="E14" s="118" t="s">
        <v>240</v>
      </c>
      <c r="F14" s="119"/>
      <c r="G14" s="118" t="s">
        <v>311</v>
      </c>
      <c r="H14" s="119"/>
      <c r="I14" s="118" t="s">
        <v>310</v>
      </c>
      <c r="J14" s="119"/>
      <c r="K14" s="118" t="s">
        <v>310</v>
      </c>
      <c r="L14" s="119"/>
    </row>
    <row r="15" spans="1:12" x14ac:dyDescent="0.35">
      <c r="A15" s="29">
        <v>3</v>
      </c>
      <c r="B15" s="27" t="s">
        <v>229</v>
      </c>
      <c r="C15" s="120">
        <v>1629.62</v>
      </c>
      <c r="D15" s="121"/>
      <c r="E15" s="120">
        <v>1629.62</v>
      </c>
      <c r="F15" s="121"/>
      <c r="G15" s="120">
        <v>2405.96</v>
      </c>
      <c r="H15" s="136"/>
      <c r="I15" s="120">
        <v>4019.36</v>
      </c>
      <c r="J15" s="136"/>
      <c r="K15" s="120">
        <v>2405.96</v>
      </c>
      <c r="L15" s="136"/>
    </row>
    <row r="16" spans="1:12" x14ac:dyDescent="0.35">
      <c r="A16" s="29">
        <v>4</v>
      </c>
      <c r="B16" s="27" t="s">
        <v>230</v>
      </c>
      <c r="C16" s="118" t="s">
        <v>237</v>
      </c>
      <c r="D16" s="119"/>
      <c r="E16" s="118" t="s">
        <v>237</v>
      </c>
      <c r="F16" s="119"/>
      <c r="G16" s="118" t="s">
        <v>237</v>
      </c>
      <c r="H16" s="119"/>
      <c r="I16" s="118" t="s">
        <v>237</v>
      </c>
      <c r="J16" s="119"/>
      <c r="K16" s="118" t="s">
        <v>237</v>
      </c>
      <c r="L16" s="119"/>
    </row>
    <row r="17" spans="1:13" x14ac:dyDescent="0.35">
      <c r="A17" s="29">
        <v>5</v>
      </c>
      <c r="B17" s="27" t="s">
        <v>238</v>
      </c>
      <c r="C17" s="122">
        <v>45301</v>
      </c>
      <c r="D17" s="119"/>
      <c r="E17" s="122">
        <v>45301</v>
      </c>
      <c r="F17" s="119"/>
      <c r="G17" s="122">
        <v>45301</v>
      </c>
      <c r="H17" s="119"/>
      <c r="I17" s="122">
        <v>45301</v>
      </c>
      <c r="J17" s="119"/>
      <c r="K17" s="122">
        <v>45301</v>
      </c>
      <c r="L17" s="119"/>
    </row>
    <row r="19" spans="1:13" ht="40" customHeight="1" x14ac:dyDescent="0.35">
      <c r="A19" s="117" t="s">
        <v>4</v>
      </c>
      <c r="B19" s="117"/>
      <c r="C19" s="96" t="s">
        <v>214</v>
      </c>
      <c r="D19" s="96"/>
      <c r="E19" s="96" t="s">
        <v>191</v>
      </c>
      <c r="F19" s="96"/>
      <c r="G19" s="96" t="s">
        <v>312</v>
      </c>
      <c r="H19" s="96"/>
      <c r="I19" s="96" t="s">
        <v>308</v>
      </c>
      <c r="J19" s="96"/>
      <c r="K19" s="96" t="s">
        <v>309</v>
      </c>
      <c r="L19" s="96"/>
    </row>
    <row r="20" spans="1:13" x14ac:dyDescent="0.35">
      <c r="A20" s="29">
        <v>1</v>
      </c>
      <c r="B20" s="29" t="s">
        <v>5</v>
      </c>
      <c r="C20" s="29"/>
      <c r="D20" s="29" t="s">
        <v>6</v>
      </c>
      <c r="E20" s="29"/>
      <c r="F20" s="29" t="s">
        <v>6</v>
      </c>
      <c r="G20" s="29"/>
      <c r="H20" s="29" t="s">
        <v>6</v>
      </c>
      <c r="I20" s="29"/>
      <c r="J20" s="29" t="s">
        <v>6</v>
      </c>
      <c r="K20" s="29"/>
      <c r="L20" s="29" t="s">
        <v>6</v>
      </c>
    </row>
    <row r="21" spans="1:13" x14ac:dyDescent="0.35">
      <c r="A21" s="29" t="s">
        <v>0</v>
      </c>
      <c r="B21" s="27" t="s">
        <v>7</v>
      </c>
      <c r="C21" s="2"/>
      <c r="D21" s="3">
        <f>C15</f>
        <v>1629.62</v>
      </c>
      <c r="E21" s="2"/>
      <c r="F21" s="3">
        <f>E15</f>
        <v>1629.62</v>
      </c>
      <c r="G21" s="2"/>
      <c r="H21" s="3">
        <v>2405.96</v>
      </c>
      <c r="I21" s="2"/>
      <c r="J21" s="3">
        <f>I15</f>
        <v>4019.36</v>
      </c>
      <c r="K21" s="2"/>
      <c r="L21" s="3">
        <f>K15</f>
        <v>2405.96</v>
      </c>
      <c r="M21" t="s">
        <v>137</v>
      </c>
    </row>
    <row r="22" spans="1:13" x14ac:dyDescent="0.35">
      <c r="A22" s="29" t="s">
        <v>1</v>
      </c>
      <c r="B22" s="27" t="s">
        <v>96</v>
      </c>
      <c r="C22" s="2"/>
      <c r="D22" s="3"/>
      <c r="E22" s="2"/>
      <c r="F22" s="3"/>
      <c r="G22" s="2"/>
      <c r="H22" s="3"/>
      <c r="I22" s="2"/>
      <c r="J22" s="3"/>
      <c r="K22" s="2"/>
      <c r="L22" s="3"/>
      <c r="M22" t="s">
        <v>198</v>
      </c>
    </row>
    <row r="23" spans="1:13" x14ac:dyDescent="0.35">
      <c r="A23" s="29" t="s">
        <v>2</v>
      </c>
      <c r="B23" s="27" t="s">
        <v>212</v>
      </c>
      <c r="C23" s="2"/>
      <c r="D23" s="3"/>
      <c r="E23" s="2"/>
      <c r="F23" s="3"/>
      <c r="G23" s="2"/>
      <c r="H23" s="3"/>
      <c r="I23" s="2"/>
      <c r="J23" s="3"/>
      <c r="K23" s="2"/>
      <c r="L23" s="3"/>
      <c r="M23" t="s">
        <v>210</v>
      </c>
    </row>
    <row r="24" spans="1:13" x14ac:dyDescent="0.35">
      <c r="A24" s="29" t="s">
        <v>3</v>
      </c>
      <c r="B24" s="27" t="s">
        <v>213</v>
      </c>
      <c r="C24" s="2"/>
      <c r="D24" s="3"/>
      <c r="E24" s="2"/>
      <c r="F24" s="3"/>
      <c r="G24" s="2"/>
      <c r="H24" s="3"/>
      <c r="I24" s="2"/>
      <c r="J24" s="3"/>
      <c r="K24" s="2"/>
      <c r="L24" s="3"/>
      <c r="M24" t="s">
        <v>211</v>
      </c>
    </row>
    <row r="25" spans="1:13" x14ac:dyDescent="0.35">
      <c r="A25" s="116" t="s">
        <v>9</v>
      </c>
      <c r="B25" s="116"/>
      <c r="C25" s="27"/>
      <c r="D25" s="4">
        <f>SUM(D21:D24)</f>
        <v>1629.62</v>
      </c>
      <c r="E25" s="27"/>
      <c r="F25" s="4">
        <f>SUM(F21:F24)</f>
        <v>1629.62</v>
      </c>
      <c r="G25" s="27"/>
      <c r="H25" s="4">
        <f>SUM(H21:H24)</f>
        <v>2405.96</v>
      </c>
      <c r="I25" s="27"/>
      <c r="J25" s="4">
        <f>SUM(J21:J24)</f>
        <v>4019.36</v>
      </c>
      <c r="K25" s="27"/>
      <c r="L25" s="4">
        <f>SUM(L21:L24)</f>
        <v>2405.96</v>
      </c>
    </row>
    <row r="27" spans="1:13" ht="15" customHeight="1" x14ac:dyDescent="0.35"/>
    <row r="28" spans="1:13" ht="40" customHeight="1" x14ac:dyDescent="0.35">
      <c r="A28" s="117" t="s">
        <v>10</v>
      </c>
      <c r="B28" s="117"/>
      <c r="C28" s="96" t="str">
        <f>$C$19</f>
        <v>Copeiragem</v>
      </c>
      <c r="D28" s="96"/>
      <c r="E28" s="96" t="str">
        <f>$E$19</f>
        <v>Carregador</v>
      </c>
      <c r="F28" s="96"/>
      <c r="G28" s="96" t="str">
        <f>$G$19</f>
        <v>Garçom</v>
      </c>
      <c r="H28" s="96"/>
      <c r="I28" s="96" t="str">
        <f>$I$19</f>
        <v>Encarregado Geral</v>
      </c>
      <c r="J28" s="96"/>
      <c r="K28" s="96" t="str">
        <f>$K$19</f>
        <v>Auxiliar de Encarregado</v>
      </c>
      <c r="L28" s="96"/>
    </row>
    <row r="29" spans="1:13" x14ac:dyDescent="0.35">
      <c r="A29" s="29" t="s">
        <v>11</v>
      </c>
      <c r="B29" s="29" t="s">
        <v>12</v>
      </c>
      <c r="C29" s="29" t="s">
        <v>13</v>
      </c>
      <c r="D29" s="29" t="s">
        <v>6</v>
      </c>
      <c r="E29" s="29" t="s">
        <v>13</v>
      </c>
      <c r="F29" s="29" t="s">
        <v>6</v>
      </c>
      <c r="G29" s="29" t="s">
        <v>13</v>
      </c>
      <c r="H29" s="29" t="s">
        <v>6</v>
      </c>
      <c r="I29" s="29" t="s">
        <v>13</v>
      </c>
      <c r="J29" s="29" t="s">
        <v>6</v>
      </c>
      <c r="K29" s="29" t="s">
        <v>13</v>
      </c>
      <c r="L29" s="29" t="s">
        <v>6</v>
      </c>
      <c r="M29" t="s">
        <v>138</v>
      </c>
    </row>
    <row r="30" spans="1:13" x14ac:dyDescent="0.35">
      <c r="A30" s="29" t="s">
        <v>0</v>
      </c>
      <c r="B30" s="27" t="s">
        <v>14</v>
      </c>
      <c r="C30" s="5">
        <f>1/12</f>
        <v>8.3333333333333329E-2</v>
      </c>
      <c r="D30" s="3">
        <f>ROUND(C30*D25,2)</f>
        <v>135.80000000000001</v>
      </c>
      <c r="E30" s="5">
        <f>1/12</f>
        <v>8.3333333333333329E-2</v>
      </c>
      <c r="F30" s="3">
        <f>ROUND(E30*F25,2)</f>
        <v>135.80000000000001</v>
      </c>
      <c r="G30" s="5">
        <f>1/12</f>
        <v>8.3333333333333329E-2</v>
      </c>
      <c r="H30" s="3">
        <f>ROUND(G30*H25,2)</f>
        <v>200.5</v>
      </c>
      <c r="I30" s="5">
        <f>1/12</f>
        <v>8.3333333333333329E-2</v>
      </c>
      <c r="J30" s="3">
        <f>ROUND(I30*J25,2)</f>
        <v>334.95</v>
      </c>
      <c r="K30" s="5">
        <f>1/12</f>
        <v>8.3333333333333329E-2</v>
      </c>
      <c r="L30" s="3">
        <f>ROUND(K30*L25,2)</f>
        <v>200.5</v>
      </c>
      <c r="M30" t="s">
        <v>139</v>
      </c>
    </row>
    <row r="31" spans="1:13" x14ac:dyDescent="0.35">
      <c r="A31" s="29" t="s">
        <v>1</v>
      </c>
      <c r="B31" s="27" t="s">
        <v>197</v>
      </c>
      <c r="C31" s="5">
        <f>(1/12)+(1/3/12)</f>
        <v>0.1111111111111111</v>
      </c>
      <c r="D31" s="3">
        <f>ROUND(C31*D25,2)</f>
        <v>181.07</v>
      </c>
      <c r="E31" s="5">
        <f>(1/12)+(1/3/12)</f>
        <v>0.1111111111111111</v>
      </c>
      <c r="F31" s="3">
        <f>ROUND(E31*F25,2)</f>
        <v>181.07</v>
      </c>
      <c r="G31" s="5">
        <f>(1/12)+(1/3/12)</f>
        <v>0.1111111111111111</v>
      </c>
      <c r="H31" s="3">
        <f>ROUND(G31*H25,2)</f>
        <v>267.33</v>
      </c>
      <c r="I31" s="5">
        <f>(1/12)+(1/3/12)</f>
        <v>0.1111111111111111</v>
      </c>
      <c r="J31" s="3">
        <f>ROUND(I31*J25,2)</f>
        <v>446.6</v>
      </c>
      <c r="K31" s="5">
        <f>(1/12)+(1/3/12)</f>
        <v>0.1111111111111111</v>
      </c>
      <c r="L31" s="3">
        <f>ROUND(K31*L25,2)</f>
        <v>267.33</v>
      </c>
    </row>
    <row r="32" spans="1:13" x14ac:dyDescent="0.35">
      <c r="A32" s="116" t="s">
        <v>9</v>
      </c>
      <c r="B32" s="116"/>
      <c r="C32" s="30">
        <f t="shared" ref="C32:F32" si="0">SUM(C30:C31)</f>
        <v>0.19444444444444442</v>
      </c>
      <c r="D32" s="4">
        <f t="shared" si="0"/>
        <v>316.87</v>
      </c>
      <c r="E32" s="30">
        <f t="shared" si="0"/>
        <v>0.19444444444444442</v>
      </c>
      <c r="F32" s="4">
        <f t="shared" si="0"/>
        <v>316.87</v>
      </c>
      <c r="G32" s="30">
        <f t="shared" ref="G32:L32" si="1">SUM(G30:G31)</f>
        <v>0.19444444444444442</v>
      </c>
      <c r="H32" s="4">
        <f t="shared" si="1"/>
        <v>467.83</v>
      </c>
      <c r="I32" s="30">
        <f t="shared" si="1"/>
        <v>0.19444444444444442</v>
      </c>
      <c r="J32" s="4">
        <f t="shared" si="1"/>
        <v>781.55</v>
      </c>
      <c r="K32" s="30">
        <f t="shared" si="1"/>
        <v>0.19444444444444442</v>
      </c>
      <c r="L32" s="4">
        <f t="shared" si="1"/>
        <v>467.83</v>
      </c>
    </row>
    <row r="34" spans="1:13" ht="15" customHeight="1" x14ac:dyDescent="0.35"/>
    <row r="35" spans="1:13" ht="40" customHeight="1" x14ac:dyDescent="0.35">
      <c r="A35" s="96" t="s">
        <v>15</v>
      </c>
      <c r="B35" s="96"/>
      <c r="C35" s="96" t="str">
        <f>$C$19</f>
        <v>Copeiragem</v>
      </c>
      <c r="D35" s="96"/>
      <c r="E35" s="96" t="str">
        <f>$E$19</f>
        <v>Carregador</v>
      </c>
      <c r="F35" s="96"/>
      <c r="G35" s="96" t="str">
        <f>$G$19</f>
        <v>Garçom</v>
      </c>
      <c r="H35" s="96"/>
      <c r="I35" s="96" t="str">
        <f>$I$19</f>
        <v>Encarregado Geral</v>
      </c>
      <c r="J35" s="96"/>
      <c r="K35" s="96" t="str">
        <f>$K$19</f>
        <v>Auxiliar de Encarregado</v>
      </c>
      <c r="L35" s="96"/>
    </row>
    <row r="36" spans="1:13" x14ac:dyDescent="0.35">
      <c r="A36" s="29" t="s">
        <v>16</v>
      </c>
      <c r="B36" s="29" t="s">
        <v>17</v>
      </c>
      <c r="C36" s="29" t="s">
        <v>13</v>
      </c>
      <c r="D36" s="29" t="s">
        <v>6</v>
      </c>
      <c r="E36" s="29" t="s">
        <v>13</v>
      </c>
      <c r="F36" s="29" t="s">
        <v>6</v>
      </c>
      <c r="G36" s="29" t="s">
        <v>13</v>
      </c>
      <c r="H36" s="29" t="s">
        <v>6</v>
      </c>
      <c r="I36" s="29" t="s">
        <v>13</v>
      </c>
      <c r="J36" s="29" t="s">
        <v>6</v>
      </c>
      <c r="K36" s="29" t="s">
        <v>13</v>
      </c>
      <c r="L36" s="29" t="s">
        <v>6</v>
      </c>
      <c r="M36" t="s">
        <v>140</v>
      </c>
    </row>
    <row r="37" spans="1:13" x14ac:dyDescent="0.35">
      <c r="A37" s="29" t="s">
        <v>0</v>
      </c>
      <c r="B37" s="27" t="s">
        <v>18</v>
      </c>
      <c r="C37" s="6">
        <v>0.2</v>
      </c>
      <c r="D37" s="3">
        <f t="shared" ref="D37:D44" si="2">(C37*($D$32+$D$25))</f>
        <v>389.298</v>
      </c>
      <c r="E37" s="6">
        <v>0.2</v>
      </c>
      <c r="F37" s="3">
        <f t="shared" ref="F37:F44" si="3">E37*($F$32+$F$25)</f>
        <v>389.298</v>
      </c>
      <c r="G37" s="6">
        <v>0.2</v>
      </c>
      <c r="H37" s="3">
        <f t="shared" ref="H37:H44" si="4">G37*($H$32+$H$25)</f>
        <v>574.75800000000004</v>
      </c>
      <c r="I37" s="6">
        <v>0.2</v>
      </c>
      <c r="J37" s="3">
        <f t="shared" ref="J37:J44" si="5">I37*($J$32+$J$25)</f>
        <v>960.18200000000002</v>
      </c>
      <c r="K37" s="6">
        <v>0.2</v>
      </c>
      <c r="L37" s="3">
        <f t="shared" ref="L37:L44" si="6">K37*($L$32+$L$25)</f>
        <v>574.75800000000004</v>
      </c>
      <c r="M37" t="s">
        <v>141</v>
      </c>
    </row>
    <row r="38" spans="1:13" x14ac:dyDescent="0.35">
      <c r="A38" s="29" t="s">
        <v>1</v>
      </c>
      <c r="B38" s="27" t="s">
        <v>19</v>
      </c>
      <c r="C38" s="6">
        <v>2.5000000000000001E-2</v>
      </c>
      <c r="D38" s="3">
        <f t="shared" si="2"/>
        <v>48.66225</v>
      </c>
      <c r="E38" s="6">
        <v>2.5000000000000001E-2</v>
      </c>
      <c r="F38" s="3">
        <f t="shared" si="3"/>
        <v>48.66225</v>
      </c>
      <c r="G38" s="6">
        <v>2.5000000000000001E-2</v>
      </c>
      <c r="H38" s="3">
        <f t="shared" si="4"/>
        <v>71.844750000000005</v>
      </c>
      <c r="I38" s="6">
        <v>2.5000000000000001E-2</v>
      </c>
      <c r="J38" s="3">
        <f t="shared" si="5"/>
        <v>120.02275</v>
      </c>
      <c r="K38" s="6">
        <v>2.5000000000000001E-2</v>
      </c>
      <c r="L38" s="3">
        <f t="shared" si="6"/>
        <v>71.844750000000005</v>
      </c>
      <c r="M38" t="s">
        <v>142</v>
      </c>
    </row>
    <row r="39" spans="1:13" x14ac:dyDescent="0.35">
      <c r="A39" s="29" t="s">
        <v>2</v>
      </c>
      <c r="B39" s="27" t="s">
        <v>20</v>
      </c>
      <c r="C39" s="6">
        <v>0.03</v>
      </c>
      <c r="D39" s="3">
        <f t="shared" si="2"/>
        <v>58.394699999999993</v>
      </c>
      <c r="E39" s="6">
        <v>0.03</v>
      </c>
      <c r="F39" s="3">
        <f t="shared" si="3"/>
        <v>58.394699999999993</v>
      </c>
      <c r="G39" s="6">
        <v>0.03</v>
      </c>
      <c r="H39" s="3">
        <f t="shared" si="4"/>
        <v>86.213699999999989</v>
      </c>
      <c r="I39" s="6">
        <v>0.03</v>
      </c>
      <c r="J39" s="3">
        <f t="shared" si="5"/>
        <v>144.0273</v>
      </c>
      <c r="K39" s="6">
        <v>0.03</v>
      </c>
      <c r="L39" s="3">
        <f t="shared" si="6"/>
        <v>86.213699999999989</v>
      </c>
      <c r="M39" t="s">
        <v>143</v>
      </c>
    </row>
    <row r="40" spans="1:13" x14ac:dyDescent="0.35">
      <c r="A40" s="29" t="s">
        <v>3</v>
      </c>
      <c r="B40" s="27" t="s">
        <v>21</v>
      </c>
      <c r="C40" s="6">
        <v>1.4999999999999999E-2</v>
      </c>
      <c r="D40" s="3">
        <f t="shared" si="2"/>
        <v>29.197349999999997</v>
      </c>
      <c r="E40" s="6">
        <v>1.4999999999999999E-2</v>
      </c>
      <c r="F40" s="3">
        <f t="shared" si="3"/>
        <v>29.197349999999997</v>
      </c>
      <c r="G40" s="6">
        <v>1.4999999999999999E-2</v>
      </c>
      <c r="H40" s="3">
        <f t="shared" si="4"/>
        <v>43.106849999999994</v>
      </c>
      <c r="I40" s="6">
        <v>1.4999999999999999E-2</v>
      </c>
      <c r="J40" s="3">
        <f t="shared" si="5"/>
        <v>72.013649999999998</v>
      </c>
      <c r="K40" s="6">
        <v>1.4999999999999999E-2</v>
      </c>
      <c r="L40" s="3">
        <f t="shared" si="6"/>
        <v>43.106849999999994</v>
      </c>
      <c r="M40" t="s">
        <v>144</v>
      </c>
    </row>
    <row r="41" spans="1:13" x14ac:dyDescent="0.35">
      <c r="A41" s="29" t="s">
        <v>22</v>
      </c>
      <c r="B41" s="27" t="s">
        <v>23</v>
      </c>
      <c r="C41" s="6">
        <v>0.01</v>
      </c>
      <c r="D41" s="3">
        <f t="shared" si="2"/>
        <v>19.464899999999997</v>
      </c>
      <c r="E41" s="6">
        <v>0.01</v>
      </c>
      <c r="F41" s="3">
        <f t="shared" si="3"/>
        <v>19.464899999999997</v>
      </c>
      <c r="G41" s="6">
        <v>0.01</v>
      </c>
      <c r="H41" s="3">
        <f t="shared" si="4"/>
        <v>28.7379</v>
      </c>
      <c r="I41" s="6">
        <v>0.01</v>
      </c>
      <c r="J41" s="3">
        <f t="shared" si="5"/>
        <v>48.009099999999997</v>
      </c>
      <c r="K41" s="6">
        <v>0.01</v>
      </c>
      <c r="L41" s="3">
        <f t="shared" si="6"/>
        <v>28.7379</v>
      </c>
      <c r="M41" t="s">
        <v>145</v>
      </c>
    </row>
    <row r="42" spans="1:13" x14ac:dyDescent="0.35">
      <c r="A42" s="29" t="s">
        <v>24</v>
      </c>
      <c r="B42" s="27" t="s">
        <v>25</v>
      </c>
      <c r="C42" s="6">
        <v>6.0000000000000001E-3</v>
      </c>
      <c r="D42" s="3">
        <f t="shared" si="2"/>
        <v>11.678939999999999</v>
      </c>
      <c r="E42" s="6">
        <v>6.0000000000000001E-3</v>
      </c>
      <c r="F42" s="3">
        <f t="shared" si="3"/>
        <v>11.678939999999999</v>
      </c>
      <c r="G42" s="6">
        <v>6.0000000000000001E-3</v>
      </c>
      <c r="H42" s="3">
        <f t="shared" si="4"/>
        <v>17.242740000000001</v>
      </c>
      <c r="I42" s="6">
        <v>6.0000000000000001E-3</v>
      </c>
      <c r="J42" s="3">
        <f t="shared" si="5"/>
        <v>28.80546</v>
      </c>
      <c r="K42" s="6">
        <v>6.0000000000000001E-3</v>
      </c>
      <c r="L42" s="3">
        <f t="shared" si="6"/>
        <v>17.242740000000001</v>
      </c>
      <c r="M42" t="s">
        <v>146</v>
      </c>
    </row>
    <row r="43" spans="1:13" x14ac:dyDescent="0.35">
      <c r="A43" s="29" t="s">
        <v>26</v>
      </c>
      <c r="B43" s="27" t="s">
        <v>27</v>
      </c>
      <c r="C43" s="6">
        <v>2E-3</v>
      </c>
      <c r="D43" s="3">
        <f t="shared" si="2"/>
        <v>3.8929799999999997</v>
      </c>
      <c r="E43" s="6">
        <v>2E-3</v>
      </c>
      <c r="F43" s="3">
        <f t="shared" si="3"/>
        <v>3.8929799999999997</v>
      </c>
      <c r="G43" s="6">
        <v>2E-3</v>
      </c>
      <c r="H43" s="3">
        <f t="shared" si="4"/>
        <v>5.7475800000000001</v>
      </c>
      <c r="I43" s="6">
        <v>2E-3</v>
      </c>
      <c r="J43" s="3">
        <f t="shared" si="5"/>
        <v>9.60182</v>
      </c>
      <c r="K43" s="6">
        <v>2E-3</v>
      </c>
      <c r="L43" s="3">
        <f t="shared" si="6"/>
        <v>5.7475800000000001</v>
      </c>
      <c r="M43" t="s">
        <v>147</v>
      </c>
    </row>
    <row r="44" spans="1:13" x14ac:dyDescent="0.35">
      <c r="A44" s="29" t="s">
        <v>28</v>
      </c>
      <c r="B44" s="27" t="s">
        <v>29</v>
      </c>
      <c r="C44" s="6">
        <v>0.08</v>
      </c>
      <c r="D44" s="3">
        <f t="shared" si="2"/>
        <v>155.71919999999997</v>
      </c>
      <c r="E44" s="6">
        <v>0.08</v>
      </c>
      <c r="F44" s="3">
        <f t="shared" si="3"/>
        <v>155.71919999999997</v>
      </c>
      <c r="G44" s="6">
        <v>0.08</v>
      </c>
      <c r="H44" s="3">
        <f t="shared" si="4"/>
        <v>229.9032</v>
      </c>
      <c r="I44" s="6">
        <v>0.08</v>
      </c>
      <c r="J44" s="3">
        <f t="shared" si="5"/>
        <v>384.07279999999997</v>
      </c>
      <c r="K44" s="6">
        <v>0.08</v>
      </c>
      <c r="L44" s="3">
        <f t="shared" si="6"/>
        <v>229.9032</v>
      </c>
    </row>
    <row r="45" spans="1:13" x14ac:dyDescent="0.35">
      <c r="A45" s="116" t="s">
        <v>9</v>
      </c>
      <c r="B45" s="116"/>
      <c r="C45" s="6">
        <f>SUM(C37:C44)</f>
        <v>0.36800000000000005</v>
      </c>
      <c r="D45" s="4">
        <f>(ROUND(SUM(D37:D44),2))</f>
        <v>716.31</v>
      </c>
      <c r="E45" s="6">
        <f>SUM(E37:E44)</f>
        <v>0.36800000000000005</v>
      </c>
      <c r="F45" s="4">
        <f>(ROUND(SUM(F37:F44),2))</f>
        <v>716.31</v>
      </c>
      <c r="G45" s="6">
        <f>SUM(G37:G44)</f>
        <v>0.36800000000000005</v>
      </c>
      <c r="H45" s="4">
        <f>(ROUND(SUM(H37:H44),2))</f>
        <v>1057.55</v>
      </c>
      <c r="I45" s="6">
        <f>SUM(I37:I44)</f>
        <v>0.36800000000000005</v>
      </c>
      <c r="J45" s="4">
        <f>(ROUND(SUM(J37:J44),2))</f>
        <v>1766.73</v>
      </c>
      <c r="K45" s="6">
        <f>SUM(K37:K44)</f>
        <v>0.36800000000000005</v>
      </c>
      <c r="L45" s="4">
        <f>(ROUND(SUM(L37:L44),2))</f>
        <v>1057.55</v>
      </c>
    </row>
    <row r="47" spans="1:13" ht="15" customHeight="1" x14ac:dyDescent="0.35"/>
    <row r="48" spans="1:13" ht="40" customHeight="1" x14ac:dyDescent="0.35">
      <c r="A48" s="96" t="s">
        <v>30</v>
      </c>
      <c r="B48" s="96"/>
      <c r="C48" s="96" t="str">
        <f>$C$19</f>
        <v>Copeiragem</v>
      </c>
      <c r="D48" s="96"/>
      <c r="E48" s="96" t="str">
        <f>$E$19</f>
        <v>Carregador</v>
      </c>
      <c r="F48" s="96"/>
      <c r="G48" s="96" t="str">
        <f>$G$19</f>
        <v>Garçom</v>
      </c>
      <c r="H48" s="96"/>
      <c r="I48" s="96" t="str">
        <f>$I$19</f>
        <v>Encarregado Geral</v>
      </c>
      <c r="J48" s="96"/>
      <c r="K48" s="96" t="str">
        <f>$K$19</f>
        <v>Auxiliar de Encarregado</v>
      </c>
      <c r="L48" s="96"/>
    </row>
    <row r="49" spans="1:13" ht="29" x14ac:dyDescent="0.35">
      <c r="A49" s="29" t="s">
        <v>31</v>
      </c>
      <c r="B49" s="29" t="s">
        <v>32</v>
      </c>
      <c r="C49" s="20" t="s">
        <v>33</v>
      </c>
      <c r="D49" s="29" t="s">
        <v>6</v>
      </c>
      <c r="E49" s="20" t="s">
        <v>33</v>
      </c>
      <c r="F49" s="29" t="s">
        <v>6</v>
      </c>
      <c r="G49" s="20" t="s">
        <v>33</v>
      </c>
      <c r="H49" s="29" t="s">
        <v>6</v>
      </c>
      <c r="I49" s="20" t="s">
        <v>33</v>
      </c>
      <c r="J49" s="29" t="s">
        <v>6</v>
      </c>
      <c r="K49" s="20" t="s">
        <v>33</v>
      </c>
      <c r="L49" s="29" t="s">
        <v>6</v>
      </c>
      <c r="M49" t="s">
        <v>148</v>
      </c>
    </row>
    <row r="50" spans="1:13" x14ac:dyDescent="0.35">
      <c r="A50" s="29" t="s">
        <v>0</v>
      </c>
      <c r="B50" s="27" t="s">
        <v>34</v>
      </c>
      <c r="C50" s="31">
        <v>5.5</v>
      </c>
      <c r="D50" s="3">
        <f>ROUND(IF((C50*2*21)-(D21*6%)&gt;=0,(C50*2*21)-(D21*6%),0),2)</f>
        <v>133.22</v>
      </c>
      <c r="E50" s="31">
        <v>5.5</v>
      </c>
      <c r="F50" s="3">
        <f>ROUND(IF((E50*2*21)-(F21*6%)&gt;=0,(E50*2*21)-(F21*6%),0),2)</f>
        <v>133.22</v>
      </c>
      <c r="G50" s="31">
        <v>5.5</v>
      </c>
      <c r="H50" s="3">
        <f>ROUND(IF((G50*2*21)-(H21*6%)&gt;=0,(G50*2*21)-(H21*6%),0),2)</f>
        <v>86.64</v>
      </c>
      <c r="I50" s="31">
        <v>5.5</v>
      </c>
      <c r="J50" s="3">
        <f>ROUND(IF((I50*2*21)-(J21*6%)&gt;=0,(#REF!*2*21)-(H21*6%),0),2)</f>
        <v>0</v>
      </c>
      <c r="K50" s="31">
        <v>5.5</v>
      </c>
      <c r="L50" s="3">
        <f>ROUND(IF((K50*2*21)-(L21*6%)&gt;=0,(K50*2*21)-(L21*6%),0),2)</f>
        <v>86.64</v>
      </c>
    </row>
    <row r="51" spans="1:13" x14ac:dyDescent="0.35">
      <c r="A51" s="123" t="s">
        <v>1</v>
      </c>
      <c r="B51" s="124" t="s">
        <v>35</v>
      </c>
      <c r="C51" s="10" t="s">
        <v>36</v>
      </c>
      <c r="D51" s="3"/>
      <c r="E51" s="10" t="s">
        <v>36</v>
      </c>
      <c r="F51" s="3"/>
      <c r="G51" s="10" t="s">
        <v>36</v>
      </c>
      <c r="H51" s="3"/>
      <c r="I51" s="10" t="s">
        <v>36</v>
      </c>
      <c r="J51" s="3"/>
      <c r="K51" s="10" t="s">
        <v>36</v>
      </c>
      <c r="L51" s="3"/>
      <c r="M51" t="s">
        <v>149</v>
      </c>
    </row>
    <row r="52" spans="1:13" x14ac:dyDescent="0.35">
      <c r="A52" s="123"/>
      <c r="B52" s="124"/>
      <c r="C52" s="31">
        <v>42.2</v>
      </c>
      <c r="D52" s="3">
        <f>(C52*21)</f>
        <v>886.2</v>
      </c>
      <c r="E52" s="31">
        <v>42.2</v>
      </c>
      <c r="F52" s="3">
        <f>(E52*21)</f>
        <v>886.2</v>
      </c>
      <c r="G52" s="31">
        <v>42.2</v>
      </c>
      <c r="H52" s="3">
        <f>(G52*21)</f>
        <v>886.2</v>
      </c>
      <c r="I52" s="31">
        <v>42.2</v>
      </c>
      <c r="J52" s="3">
        <f>(I52*21)</f>
        <v>886.2</v>
      </c>
      <c r="K52" s="31">
        <v>42.2</v>
      </c>
      <c r="L52" s="3">
        <f>(K52*21)</f>
        <v>886.2</v>
      </c>
    </row>
    <row r="53" spans="1:13" x14ac:dyDescent="0.35">
      <c r="A53" s="29" t="s">
        <v>2</v>
      </c>
      <c r="B53" s="27" t="s">
        <v>8</v>
      </c>
      <c r="C53" s="6"/>
      <c r="D53" s="29"/>
      <c r="E53" s="6"/>
      <c r="F53" s="29"/>
      <c r="G53" s="6"/>
      <c r="H53" s="29"/>
      <c r="I53" s="6"/>
      <c r="J53" s="29"/>
      <c r="K53" s="6"/>
      <c r="L53" s="29"/>
    </row>
    <row r="54" spans="1:13" x14ac:dyDescent="0.35">
      <c r="A54" s="116" t="s">
        <v>9</v>
      </c>
      <c r="B54" s="116"/>
      <c r="C54" s="27"/>
      <c r="D54" s="4">
        <f>ROUND(SUM(D50:D53),2)</f>
        <v>1019.42</v>
      </c>
      <c r="E54" s="27"/>
      <c r="F54" s="4">
        <f>ROUND(SUM(F50:F53),2)</f>
        <v>1019.42</v>
      </c>
      <c r="G54" s="27"/>
      <c r="H54" s="4">
        <f>ROUND(SUM(H50:H53),2)</f>
        <v>972.84</v>
      </c>
      <c r="I54" s="27"/>
      <c r="J54" s="4">
        <f>ROUND(SUM(J50:J53),2)</f>
        <v>886.2</v>
      </c>
      <c r="K54" s="27"/>
      <c r="L54" s="4">
        <f>ROUND(SUM(L50:L53),2)</f>
        <v>972.84</v>
      </c>
    </row>
    <row r="56" spans="1:13" ht="15" customHeight="1" x14ac:dyDescent="0.35"/>
    <row r="57" spans="1:13" ht="40" customHeight="1" x14ac:dyDescent="0.35">
      <c r="A57" s="96" t="s">
        <v>37</v>
      </c>
      <c r="B57" s="96"/>
      <c r="C57" s="96" t="str">
        <f>$C$19</f>
        <v>Copeiragem</v>
      </c>
      <c r="D57" s="96"/>
      <c r="E57" s="96" t="str">
        <f>$E$19</f>
        <v>Carregador</v>
      </c>
      <c r="F57" s="96"/>
      <c r="G57" s="96" t="str">
        <f>$G$19</f>
        <v>Garçom</v>
      </c>
      <c r="H57" s="96"/>
      <c r="I57" s="96" t="str">
        <f>$I$19</f>
        <v>Encarregado Geral</v>
      </c>
      <c r="J57" s="96"/>
      <c r="K57" s="96" t="str">
        <f>$K$19</f>
        <v>Auxiliar de Encarregado</v>
      </c>
      <c r="L57" s="96"/>
    </row>
    <row r="58" spans="1:13" x14ac:dyDescent="0.35">
      <c r="A58" s="29">
        <v>2</v>
      </c>
      <c r="B58" s="29" t="s">
        <v>32</v>
      </c>
      <c r="C58" s="29"/>
      <c r="D58" s="29" t="s">
        <v>6</v>
      </c>
      <c r="E58" s="29"/>
      <c r="F58" s="29" t="s">
        <v>6</v>
      </c>
      <c r="G58" s="29"/>
      <c r="H58" s="29" t="s">
        <v>6</v>
      </c>
      <c r="I58" s="29"/>
      <c r="J58" s="29" t="s">
        <v>6</v>
      </c>
      <c r="K58" s="29"/>
      <c r="L58" s="29" t="s">
        <v>6</v>
      </c>
    </row>
    <row r="59" spans="1:13" x14ac:dyDescent="0.35">
      <c r="A59" s="29" t="s">
        <v>11</v>
      </c>
      <c r="B59" s="27" t="s">
        <v>38</v>
      </c>
      <c r="C59" s="6"/>
      <c r="D59" s="3">
        <f>D32</f>
        <v>316.87</v>
      </c>
      <c r="E59" s="7"/>
      <c r="F59" s="3">
        <f>F32</f>
        <v>316.87</v>
      </c>
      <c r="G59" s="7"/>
      <c r="H59" s="3">
        <f>H32</f>
        <v>467.83</v>
      </c>
      <c r="I59" s="7"/>
      <c r="J59" s="3">
        <f>J32</f>
        <v>781.55</v>
      </c>
      <c r="K59" s="7"/>
      <c r="L59" s="3">
        <f>L32</f>
        <v>467.83</v>
      </c>
    </row>
    <row r="60" spans="1:13" x14ac:dyDescent="0.35">
      <c r="A60" s="29" t="s">
        <v>16</v>
      </c>
      <c r="B60" s="27" t="s">
        <v>17</v>
      </c>
      <c r="C60" s="6"/>
      <c r="D60" s="28">
        <f>D45</f>
        <v>716.31</v>
      </c>
      <c r="E60" s="7"/>
      <c r="F60" s="28">
        <f>F45</f>
        <v>716.31</v>
      </c>
      <c r="G60" s="7"/>
      <c r="H60" s="28">
        <f>H45</f>
        <v>1057.55</v>
      </c>
      <c r="I60" s="7"/>
      <c r="J60" s="28">
        <f>J45</f>
        <v>1766.73</v>
      </c>
      <c r="K60" s="7"/>
      <c r="L60" s="28">
        <f>L45</f>
        <v>1057.55</v>
      </c>
    </row>
    <row r="61" spans="1:13" x14ac:dyDescent="0.35">
      <c r="A61" s="29" t="s">
        <v>31</v>
      </c>
      <c r="B61" s="27" t="s">
        <v>32</v>
      </c>
      <c r="C61" s="6"/>
      <c r="D61" s="28">
        <f>D54</f>
        <v>1019.42</v>
      </c>
      <c r="E61" s="7"/>
      <c r="F61" s="28">
        <f>F54</f>
        <v>1019.42</v>
      </c>
      <c r="G61" s="7"/>
      <c r="H61" s="28">
        <f>H54</f>
        <v>972.84</v>
      </c>
      <c r="I61" s="7"/>
      <c r="J61" s="28">
        <f>J54</f>
        <v>886.2</v>
      </c>
      <c r="K61" s="7"/>
      <c r="L61" s="28">
        <f>L54</f>
        <v>972.84</v>
      </c>
    </row>
    <row r="62" spans="1:13" x14ac:dyDescent="0.35">
      <c r="A62" s="116" t="s">
        <v>9</v>
      </c>
      <c r="B62" s="116"/>
      <c r="C62" s="27"/>
      <c r="D62" s="8">
        <f>SUM(D59:D61)</f>
        <v>2052.6</v>
      </c>
      <c r="E62" s="27"/>
      <c r="F62" s="4">
        <f>SUM(F59:F61)</f>
        <v>2052.6</v>
      </c>
      <c r="G62" s="27"/>
      <c r="H62" s="4">
        <f>SUM(H59:H61)</f>
        <v>2498.2199999999998</v>
      </c>
      <c r="I62" s="27"/>
      <c r="J62" s="4">
        <f>SUM(J59:J61)</f>
        <v>3434.4799999999996</v>
      </c>
      <c r="K62" s="27"/>
      <c r="L62" s="4">
        <f>SUM(L59:L61)</f>
        <v>2498.2199999999998</v>
      </c>
    </row>
    <row r="64" spans="1:13" ht="15" customHeight="1" x14ac:dyDescent="0.35"/>
    <row r="65" spans="1:13" ht="40" customHeight="1" x14ac:dyDescent="0.35">
      <c r="A65" s="96" t="s">
        <v>39</v>
      </c>
      <c r="B65" s="96"/>
      <c r="C65" s="96" t="str">
        <f>$C$19</f>
        <v>Copeiragem</v>
      </c>
      <c r="D65" s="96"/>
      <c r="E65" s="96" t="str">
        <f>$E$19</f>
        <v>Carregador</v>
      </c>
      <c r="F65" s="96"/>
      <c r="G65" s="96" t="str">
        <f>$G$19</f>
        <v>Garçom</v>
      </c>
      <c r="H65" s="96"/>
      <c r="I65" s="96" t="str">
        <f>$I$19</f>
        <v>Encarregado Geral</v>
      </c>
      <c r="J65" s="96"/>
      <c r="K65" s="96" t="str">
        <f>$K$19</f>
        <v>Auxiliar de Encarregado</v>
      </c>
      <c r="L65" s="96"/>
    </row>
    <row r="66" spans="1:13" x14ac:dyDescent="0.35">
      <c r="A66" s="29">
        <v>3</v>
      </c>
      <c r="B66" s="29" t="s">
        <v>40</v>
      </c>
      <c r="C66" s="29" t="s">
        <v>13</v>
      </c>
      <c r="D66" s="29" t="s">
        <v>6</v>
      </c>
      <c r="E66" s="29" t="s">
        <v>13</v>
      </c>
      <c r="F66" s="29" t="s">
        <v>6</v>
      </c>
      <c r="G66" s="29" t="s">
        <v>13</v>
      </c>
      <c r="H66" s="29" t="s">
        <v>6</v>
      </c>
      <c r="I66" s="29" t="s">
        <v>13</v>
      </c>
      <c r="J66" s="29" t="s">
        <v>6</v>
      </c>
      <c r="K66" s="29" t="s">
        <v>13</v>
      </c>
      <c r="L66" s="29" t="s">
        <v>6</v>
      </c>
      <c r="M66" t="s">
        <v>150</v>
      </c>
    </row>
    <row r="67" spans="1:13" x14ac:dyDescent="0.35">
      <c r="A67" s="29" t="s">
        <v>0</v>
      </c>
      <c r="B67" s="27" t="s">
        <v>41</v>
      </c>
      <c r="C67" s="5">
        <f>(1/12*5.55%)</f>
        <v>4.6249999999999998E-3</v>
      </c>
      <c r="D67" s="3">
        <f>ROUND(C67*D25,2)</f>
        <v>7.54</v>
      </c>
      <c r="E67" s="5">
        <f>(1/12*5.55%)</f>
        <v>4.6249999999999998E-3</v>
      </c>
      <c r="F67" s="3">
        <f>ROUND(E67*F25,2)</f>
        <v>7.54</v>
      </c>
      <c r="G67" s="5">
        <f>(1/12*5.55%)</f>
        <v>4.6249999999999998E-3</v>
      </c>
      <c r="H67" s="3">
        <f>ROUND(G67*H25,2)</f>
        <v>11.13</v>
      </c>
      <c r="I67" s="5">
        <f>(1/12*5.55%)</f>
        <v>4.6249999999999998E-3</v>
      </c>
      <c r="J67" s="3">
        <f>ROUND(I67*J25,2)</f>
        <v>18.59</v>
      </c>
      <c r="K67" s="5">
        <f>(1/12*5.55%)</f>
        <v>4.6249999999999998E-3</v>
      </c>
      <c r="L67" s="3">
        <f>ROUND(K67*L25,2)</f>
        <v>11.13</v>
      </c>
    </row>
    <row r="68" spans="1:13" x14ac:dyDescent="0.35">
      <c r="A68" s="29" t="s">
        <v>1</v>
      </c>
      <c r="B68" s="27" t="s">
        <v>42</v>
      </c>
      <c r="C68" s="5">
        <v>0.08</v>
      </c>
      <c r="D68" s="3">
        <f>C68*D67</f>
        <v>0.60320000000000007</v>
      </c>
      <c r="E68" s="5">
        <v>0.08</v>
      </c>
      <c r="F68" s="3">
        <f>E68*F67</f>
        <v>0.60320000000000007</v>
      </c>
      <c r="G68" s="5">
        <v>0.08</v>
      </c>
      <c r="H68" s="3">
        <f>G68*H67</f>
        <v>0.89040000000000008</v>
      </c>
      <c r="I68" s="5">
        <v>0.08</v>
      </c>
      <c r="J68" s="3">
        <f>I68*J67</f>
        <v>1.4872000000000001</v>
      </c>
      <c r="K68" s="5">
        <v>0.08</v>
      </c>
      <c r="L68" s="3">
        <f>K68*L67</f>
        <v>0.89040000000000008</v>
      </c>
      <c r="M68" t="s">
        <v>151</v>
      </c>
    </row>
    <row r="69" spans="1:13" x14ac:dyDescent="0.35">
      <c r="A69" s="29" t="s">
        <v>2</v>
      </c>
      <c r="B69" s="27" t="s">
        <v>43</v>
      </c>
      <c r="C69" s="5">
        <f>(7/30)/12</f>
        <v>1.9444444444444445E-2</v>
      </c>
      <c r="D69" s="3">
        <f>C69*D25</f>
        <v>31.687055555555553</v>
      </c>
      <c r="E69" s="5">
        <f>(7/30)/12</f>
        <v>1.9444444444444445E-2</v>
      </c>
      <c r="F69" s="3">
        <f>E69*F25</f>
        <v>31.687055555555553</v>
      </c>
      <c r="G69" s="5">
        <f>(7/30)/12</f>
        <v>1.9444444444444445E-2</v>
      </c>
      <c r="H69" s="3">
        <f>G69*H25</f>
        <v>46.782555555555554</v>
      </c>
      <c r="I69" s="5">
        <f>(7/30)/12</f>
        <v>1.9444444444444445E-2</v>
      </c>
      <c r="J69" s="3">
        <f>I69*J25</f>
        <v>78.154222222222231</v>
      </c>
      <c r="K69" s="5">
        <f>(7/30)/12</f>
        <v>1.9444444444444445E-2</v>
      </c>
      <c r="L69" s="3">
        <f>K69*L25</f>
        <v>46.782555555555554</v>
      </c>
    </row>
    <row r="70" spans="1:13" x14ac:dyDescent="0.35">
      <c r="A70" s="32" t="s">
        <v>3</v>
      </c>
      <c r="B70" s="9" t="s">
        <v>44</v>
      </c>
      <c r="C70" s="5">
        <f>C45</f>
        <v>0.36800000000000005</v>
      </c>
      <c r="D70" s="3">
        <f>C70*D69</f>
        <v>11.660836444444445</v>
      </c>
      <c r="E70" s="5">
        <f>E45</f>
        <v>0.36800000000000005</v>
      </c>
      <c r="F70" s="3">
        <f>E70*F69</f>
        <v>11.660836444444445</v>
      </c>
      <c r="G70" s="5">
        <f>G45</f>
        <v>0.36800000000000005</v>
      </c>
      <c r="H70" s="3">
        <f>G70*H69</f>
        <v>17.215980444444448</v>
      </c>
      <c r="I70" s="5">
        <f>I45</f>
        <v>0.36800000000000005</v>
      </c>
      <c r="J70" s="3">
        <f>I70*J69</f>
        <v>28.760753777777786</v>
      </c>
      <c r="K70" s="5">
        <f>K45</f>
        <v>0.36800000000000005</v>
      </c>
      <c r="L70" s="3">
        <f>K70*L69</f>
        <v>17.215980444444448</v>
      </c>
      <c r="M70" t="s">
        <v>152</v>
      </c>
    </row>
    <row r="71" spans="1:13" x14ac:dyDescent="0.35">
      <c r="A71" s="29" t="s">
        <v>22</v>
      </c>
      <c r="B71" s="27" t="s">
        <v>45</v>
      </c>
      <c r="C71" s="5">
        <v>0.04</v>
      </c>
      <c r="D71" s="3">
        <f>C71*D25</f>
        <v>65.184799999999996</v>
      </c>
      <c r="E71" s="5">
        <v>0.04</v>
      </c>
      <c r="F71" s="3">
        <f>E71*F25</f>
        <v>65.184799999999996</v>
      </c>
      <c r="G71" s="5">
        <v>0.04</v>
      </c>
      <c r="H71" s="3">
        <f>G71*H25</f>
        <v>96.238399999999999</v>
      </c>
      <c r="I71" s="5">
        <v>0.04</v>
      </c>
      <c r="J71" s="3">
        <f>I71*J25</f>
        <v>160.77440000000001</v>
      </c>
      <c r="K71" s="5">
        <v>0.04</v>
      </c>
      <c r="L71" s="3">
        <f>K71*L25</f>
        <v>96.238399999999999</v>
      </c>
    </row>
    <row r="72" spans="1:13" x14ac:dyDescent="0.35">
      <c r="A72" s="116" t="s">
        <v>9</v>
      </c>
      <c r="B72" s="116"/>
      <c r="C72" s="27"/>
      <c r="D72" s="4">
        <f>ROUND(SUM(D67:D71),2)</f>
        <v>116.68</v>
      </c>
      <c r="E72" s="27"/>
      <c r="F72" s="4">
        <f>ROUND(SUM(F67:F71),2)</f>
        <v>116.68</v>
      </c>
      <c r="G72" s="27"/>
      <c r="H72" s="4">
        <f>ROUND(SUM(H67:H71),2)</f>
        <v>172.26</v>
      </c>
      <c r="I72" s="27"/>
      <c r="J72" s="4">
        <f>ROUND(SUM(J67:J71),2)</f>
        <v>287.77</v>
      </c>
      <c r="K72" s="27"/>
      <c r="L72" s="4">
        <f>ROUND(SUM(L67:L71),2)</f>
        <v>172.26</v>
      </c>
    </row>
    <row r="74" spans="1:13" ht="15" customHeight="1" x14ac:dyDescent="0.35"/>
    <row r="75" spans="1:13" ht="40" customHeight="1" x14ac:dyDescent="0.35">
      <c r="A75" s="96" t="s">
        <v>97</v>
      </c>
      <c r="B75" s="96"/>
      <c r="C75" s="96" t="str">
        <f>$C$19</f>
        <v>Copeiragem</v>
      </c>
      <c r="D75" s="96"/>
      <c r="E75" s="96" t="str">
        <f>$E$19</f>
        <v>Carregador</v>
      </c>
      <c r="F75" s="96"/>
      <c r="G75" s="96" t="str">
        <f>$G$19</f>
        <v>Garçom</v>
      </c>
      <c r="H75" s="96"/>
      <c r="I75" s="96" t="str">
        <f>$I$19</f>
        <v>Encarregado Geral</v>
      </c>
      <c r="J75" s="96"/>
      <c r="K75" s="96" t="str">
        <f>$K$19</f>
        <v>Auxiliar de Encarregado</v>
      </c>
      <c r="L75" s="96"/>
    </row>
    <row r="76" spans="1:13" x14ac:dyDescent="0.35">
      <c r="A76" s="29" t="s">
        <v>46</v>
      </c>
      <c r="B76" s="29" t="s">
        <v>98</v>
      </c>
      <c r="C76" s="29" t="s">
        <v>13</v>
      </c>
      <c r="D76" s="29" t="s">
        <v>6</v>
      </c>
      <c r="E76" s="29" t="s">
        <v>13</v>
      </c>
      <c r="F76" s="29" t="s">
        <v>6</v>
      </c>
      <c r="G76" s="29" t="s">
        <v>13</v>
      </c>
      <c r="H76" s="29" t="s">
        <v>6</v>
      </c>
      <c r="I76" s="29" t="s">
        <v>13</v>
      </c>
      <c r="J76" s="29" t="s">
        <v>6</v>
      </c>
      <c r="K76" s="29" t="s">
        <v>13</v>
      </c>
      <c r="L76" s="29" t="s">
        <v>6</v>
      </c>
      <c r="M76" t="s">
        <v>153</v>
      </c>
    </row>
    <row r="77" spans="1:13" x14ac:dyDescent="0.35">
      <c r="A77" s="29" t="s">
        <v>0</v>
      </c>
      <c r="B77" s="27" t="s">
        <v>47</v>
      </c>
      <c r="C77" s="5">
        <f>12.1%-C31</f>
        <v>9.8888888888888915E-3</v>
      </c>
      <c r="D77" s="3">
        <f t="shared" ref="D77:D82" si="7">C77*($D$25+$D$59+$D$60+$D$72)</f>
        <v>27.485968888888891</v>
      </c>
      <c r="E77" s="5">
        <f>12.1%-E31</f>
        <v>9.8888888888888915E-3</v>
      </c>
      <c r="F77" s="3">
        <f t="shared" ref="F77:F81" si="8">E77*($F$25+$F$59+$F$60+$F$72)</f>
        <v>27.485968888888891</v>
      </c>
      <c r="G77" s="5">
        <f>12.1%-G31</f>
        <v>9.8888888888888915E-3</v>
      </c>
      <c r="H77" s="3">
        <f>G77*($H$25+$H$59+$H$60+$H$72)</f>
        <v>40.580044444444461</v>
      </c>
      <c r="I77" s="5">
        <f>12.1%-I31</f>
        <v>9.8888888888888915E-3</v>
      </c>
      <c r="J77" s="3">
        <f>I77*($J$25+$J$59+$J$60+$J$72)</f>
        <v>67.79238777777779</v>
      </c>
      <c r="K77" s="5">
        <f>12.1%-K31</f>
        <v>9.8888888888888915E-3</v>
      </c>
      <c r="L77" s="3">
        <f>K77*($L$25+$L$59+$L$60+$L$72)</f>
        <v>40.580044444444461</v>
      </c>
      <c r="M77" t="s">
        <v>154</v>
      </c>
    </row>
    <row r="78" spans="1:13" x14ac:dyDescent="0.35">
      <c r="A78" s="29" t="s">
        <v>1</v>
      </c>
      <c r="B78" s="27" t="s">
        <v>48</v>
      </c>
      <c r="C78" s="5">
        <f>(5.96/30)/12</f>
        <v>1.6555555555555556E-2</v>
      </c>
      <c r="D78" s="3">
        <f t="shared" si="7"/>
        <v>46.015835555555547</v>
      </c>
      <c r="E78" s="5">
        <f>(5.96/30)/12</f>
        <v>1.6555555555555556E-2</v>
      </c>
      <c r="F78" s="3">
        <f t="shared" si="8"/>
        <v>46.015835555555547</v>
      </c>
      <c r="G78" s="5">
        <f>(5.96/30)/12</f>
        <v>1.6555555555555556E-2</v>
      </c>
      <c r="H78" s="3">
        <f>G78*($H$25+$H$59+$H$60+$H$72)</f>
        <v>67.937377777777783</v>
      </c>
      <c r="I78" s="5">
        <f>(5.96/30)/12</f>
        <v>1.6555555555555556E-2</v>
      </c>
      <c r="J78" s="3">
        <f>I78*($J$25+$J$59+$J$60+$J$72)</f>
        <v>113.49512111111112</v>
      </c>
      <c r="K78" s="5">
        <f>(5.96/30)/12</f>
        <v>1.6555555555555556E-2</v>
      </c>
      <c r="L78" s="3">
        <f>K78*($L$25+$L$59+$L$60+$L$72)</f>
        <v>67.937377777777783</v>
      </c>
      <c r="M78" t="s">
        <v>155</v>
      </c>
    </row>
    <row r="79" spans="1:13" ht="15" customHeight="1" x14ac:dyDescent="0.35">
      <c r="A79" s="29" t="s">
        <v>2</v>
      </c>
      <c r="B79" s="27" t="s">
        <v>49</v>
      </c>
      <c r="C79" s="5">
        <f>((5/30)/12)*0.015</f>
        <v>2.0833333333333332E-4</v>
      </c>
      <c r="D79" s="3">
        <f t="shared" si="7"/>
        <v>0.57905833333333323</v>
      </c>
      <c r="E79" s="5">
        <f>((5/30)/12)*0.015</f>
        <v>2.0833333333333332E-4</v>
      </c>
      <c r="F79" s="3">
        <f t="shared" si="8"/>
        <v>0.57905833333333323</v>
      </c>
      <c r="G79" s="5">
        <f>((5/30)/12)*0.015</f>
        <v>2.0833333333333332E-4</v>
      </c>
      <c r="H79" s="3">
        <f>G79*($H$25+$H$59+$H$60+$H$72)</f>
        <v>0.85491666666666666</v>
      </c>
      <c r="I79" s="5">
        <f>((5/30)/12)*0.015</f>
        <v>2.0833333333333332E-4</v>
      </c>
      <c r="J79" s="3">
        <f>I79*($J$25+$J$59+$J$60+$J$72)</f>
        <v>1.4282104166666665</v>
      </c>
      <c r="K79" s="5">
        <f>((5/30)/12)*0.015</f>
        <v>2.0833333333333332E-4</v>
      </c>
      <c r="L79" s="3">
        <f>K79*($L$25+$L$59+$L$60+$L$72)</f>
        <v>0.85491666666666666</v>
      </c>
      <c r="M79" t="s">
        <v>136</v>
      </c>
    </row>
    <row r="80" spans="1:13" ht="15" customHeight="1" x14ac:dyDescent="0.35">
      <c r="A80" s="32" t="s">
        <v>3</v>
      </c>
      <c r="B80" s="9" t="s">
        <v>50</v>
      </c>
      <c r="C80" s="5">
        <f>(15/360)*0.44%</f>
        <v>1.8333333333333334E-4</v>
      </c>
      <c r="D80" s="3">
        <f t="shared" si="7"/>
        <v>0.50957133333333327</v>
      </c>
      <c r="E80" s="5">
        <f>(15/360)*0.44%</f>
        <v>1.8333333333333334E-4</v>
      </c>
      <c r="F80" s="3">
        <f t="shared" si="8"/>
        <v>0.50957133333333327</v>
      </c>
      <c r="G80" s="5">
        <f>(15/360)*0.44%</f>
        <v>1.8333333333333334E-4</v>
      </c>
      <c r="H80" s="3">
        <f>G80*($H$25+$H$59+$H$60+$H$72)</f>
        <v>0.7523266666666667</v>
      </c>
      <c r="I80" s="5">
        <f>(15/360)*0.44%</f>
        <v>1.8333333333333334E-4</v>
      </c>
      <c r="J80" s="3">
        <f>I80*($J$25+$J$59+$J$60+$J$72)</f>
        <v>1.2568251666666665</v>
      </c>
      <c r="K80" s="5">
        <f>(15/360)*0.44%</f>
        <v>1.8333333333333334E-4</v>
      </c>
      <c r="L80" s="3">
        <f>K80*($L$25+$L$59+$L$60+$L$72)</f>
        <v>0.7523266666666667</v>
      </c>
      <c r="M80" t="s">
        <v>156</v>
      </c>
    </row>
    <row r="81" spans="1:12" x14ac:dyDescent="0.35">
      <c r="A81" s="32" t="s">
        <v>22</v>
      </c>
      <c r="B81" s="9" t="s">
        <v>51</v>
      </c>
      <c r="C81" s="5">
        <f>50%*(4/12)*1.5%*(8.33%+11.11%)</f>
        <v>4.8599999999999989E-4</v>
      </c>
      <c r="D81" s="3">
        <f t="shared" si="7"/>
        <v>1.3508272799999994</v>
      </c>
      <c r="E81" s="5">
        <f>50%*(4/12)*1.5%*(8.33%+11.11%)</f>
        <v>4.8599999999999989E-4</v>
      </c>
      <c r="F81" s="3">
        <f t="shared" si="8"/>
        <v>1.3508272799999994</v>
      </c>
      <c r="G81" s="5">
        <f>50%*(4/12)*1.5%*(8.33%+11.11%)</f>
        <v>4.8599999999999989E-4</v>
      </c>
      <c r="H81" s="3">
        <f>G81*($H$25+$H$59+$H$60+$H$72)</f>
        <v>1.9943495999999996</v>
      </c>
      <c r="I81" s="5">
        <f>50%*(4/12)*1.5%*(8.33%+11.11%)</f>
        <v>4.8599999999999989E-4</v>
      </c>
      <c r="J81" s="3">
        <f>I81*($J$25+$J$59+$J$60+$J$72)</f>
        <v>3.331729259999999</v>
      </c>
      <c r="K81" s="5">
        <f>50%*(4/12)*1.5%*(8.33%+11.11%)</f>
        <v>4.8599999999999989E-4</v>
      </c>
      <c r="L81" s="3">
        <f>K81*($L$25+$L$59+$L$60+$L$72)</f>
        <v>1.9943495999999996</v>
      </c>
    </row>
    <row r="82" spans="1:12" x14ac:dyDescent="0.35">
      <c r="A82" s="29" t="s">
        <v>24</v>
      </c>
      <c r="B82" s="27" t="s">
        <v>52</v>
      </c>
      <c r="C82" s="6"/>
      <c r="D82" s="3">
        <f t="shared" si="7"/>
        <v>0</v>
      </c>
      <c r="E82" s="3"/>
      <c r="F82" s="3">
        <f t="shared" ref="F82" si="9">E82*($D$25+$D$59+$D$60+$D$72)</f>
        <v>0</v>
      </c>
      <c r="G82" s="3"/>
      <c r="H82" s="3">
        <f t="shared" ref="H82" si="10">G82*($D$25+$D$59+$D$60+$D$72)</f>
        <v>0</v>
      </c>
      <c r="I82" s="3"/>
      <c r="J82" s="3">
        <f t="shared" ref="J82" si="11">I82*($D$25+$D$59+$D$60+$D$72)</f>
        <v>0</v>
      </c>
      <c r="K82" s="3"/>
      <c r="L82" s="3">
        <f t="shared" ref="L82" si="12">K82*($D$25+$D$59+$D$60+$D$72)</f>
        <v>0</v>
      </c>
    </row>
    <row r="83" spans="1:12" x14ac:dyDescent="0.35">
      <c r="A83" s="116" t="s">
        <v>9</v>
      </c>
      <c r="B83" s="116"/>
      <c r="C83" s="27"/>
      <c r="D83" s="4">
        <f>ROUND(SUM(D77:D82),2)</f>
        <v>75.94</v>
      </c>
      <c r="E83" s="27"/>
      <c r="F83" s="4">
        <f>ROUND(SUM(F77:F82),2)</f>
        <v>75.94</v>
      </c>
      <c r="G83" s="27"/>
      <c r="H83" s="4">
        <f>ROUND(SUM(H77:H82),2)</f>
        <v>112.12</v>
      </c>
      <c r="I83" s="27"/>
      <c r="J83" s="4">
        <f>ROUND(SUM(J77:J82),2)</f>
        <v>187.3</v>
      </c>
      <c r="K83" s="27"/>
      <c r="L83" s="4">
        <f>ROUND(SUM(L77:L82),2)</f>
        <v>112.12</v>
      </c>
    </row>
    <row r="85" spans="1:12" ht="15" customHeight="1" x14ac:dyDescent="0.35"/>
    <row r="86" spans="1:12" ht="40" customHeight="1" x14ac:dyDescent="0.35">
      <c r="A86" s="96" t="s">
        <v>53</v>
      </c>
      <c r="B86" s="96"/>
      <c r="C86" s="96" t="str">
        <f>$C$19</f>
        <v>Copeiragem</v>
      </c>
      <c r="D86" s="96"/>
      <c r="E86" s="96" t="str">
        <f>$E$19</f>
        <v>Carregador</v>
      </c>
      <c r="F86" s="96"/>
      <c r="G86" s="96" t="str">
        <f>$G$19</f>
        <v>Garçom</v>
      </c>
      <c r="H86" s="96"/>
      <c r="I86" s="96" t="str">
        <f>$I$19</f>
        <v>Encarregado Geral</v>
      </c>
      <c r="J86" s="96"/>
      <c r="K86" s="96" t="str">
        <f>$K$19</f>
        <v>Auxiliar de Encarregado</v>
      </c>
      <c r="L86" s="96"/>
    </row>
    <row r="87" spans="1:12" x14ac:dyDescent="0.35">
      <c r="A87" s="29" t="s">
        <v>54</v>
      </c>
      <c r="B87" s="29" t="s">
        <v>58</v>
      </c>
      <c r="C87" s="29"/>
      <c r="D87" s="29" t="s">
        <v>6</v>
      </c>
      <c r="E87" s="29"/>
      <c r="F87" s="29" t="s">
        <v>6</v>
      </c>
      <c r="G87" s="29"/>
      <c r="H87" s="29" t="s">
        <v>6</v>
      </c>
      <c r="I87" s="29"/>
      <c r="J87" s="29" t="s">
        <v>6</v>
      </c>
      <c r="K87" s="29"/>
      <c r="L87" s="29" t="s">
        <v>6</v>
      </c>
    </row>
    <row r="88" spans="1:12" ht="29" x14ac:dyDescent="0.35">
      <c r="A88" s="29" t="s">
        <v>0</v>
      </c>
      <c r="B88" s="9" t="s">
        <v>55</v>
      </c>
      <c r="C88" s="10"/>
      <c r="D88" s="3">
        <v>0</v>
      </c>
      <c r="E88" s="7"/>
      <c r="F88" s="3">
        <v>0</v>
      </c>
      <c r="G88" s="7"/>
      <c r="H88" s="3">
        <v>0</v>
      </c>
      <c r="I88" s="7"/>
      <c r="J88" s="3">
        <v>0</v>
      </c>
      <c r="K88" s="7"/>
      <c r="L88" s="3">
        <v>0</v>
      </c>
    </row>
    <row r="89" spans="1:12" x14ac:dyDescent="0.35">
      <c r="A89" s="116" t="s">
        <v>9</v>
      </c>
      <c r="B89" s="116"/>
      <c r="C89" s="27"/>
      <c r="D89" s="4">
        <f>SUM(D88:D88)</f>
        <v>0</v>
      </c>
      <c r="E89" s="27"/>
      <c r="F89" s="4">
        <f>SUM(F88:F88)</f>
        <v>0</v>
      </c>
      <c r="G89" s="27"/>
      <c r="H89" s="4">
        <f>SUM(H88:H88)</f>
        <v>0</v>
      </c>
      <c r="I89" s="27"/>
      <c r="J89" s="4">
        <f>SUM(J88:J88)</f>
        <v>0</v>
      </c>
      <c r="K89" s="27"/>
      <c r="L89" s="4">
        <f>SUM(L88:L88)</f>
        <v>0</v>
      </c>
    </row>
    <row r="91" spans="1:12" ht="15" customHeight="1" x14ac:dyDescent="0.35"/>
    <row r="92" spans="1:12" ht="40" customHeight="1" x14ac:dyDescent="0.35">
      <c r="A92" s="96" t="s">
        <v>56</v>
      </c>
      <c r="B92" s="96"/>
      <c r="C92" s="96" t="str">
        <f>$C$19</f>
        <v>Copeiragem</v>
      </c>
      <c r="D92" s="96"/>
      <c r="E92" s="96" t="str">
        <f>$E$19</f>
        <v>Carregador</v>
      </c>
      <c r="F92" s="96"/>
      <c r="G92" s="96" t="str">
        <f>$G$19</f>
        <v>Garçom</v>
      </c>
      <c r="H92" s="96"/>
      <c r="I92" s="96" t="str">
        <f>$I$19</f>
        <v>Encarregado Geral</v>
      </c>
      <c r="J92" s="96"/>
      <c r="K92" s="96" t="str">
        <f>$K$19</f>
        <v>Auxiliar de Encarregado</v>
      </c>
      <c r="L92" s="96"/>
    </row>
    <row r="93" spans="1:12" x14ac:dyDescent="0.35">
      <c r="A93" s="29">
        <v>4</v>
      </c>
      <c r="B93" s="29" t="s">
        <v>99</v>
      </c>
      <c r="C93" s="29"/>
      <c r="D93" s="29" t="s">
        <v>6</v>
      </c>
      <c r="E93" s="29"/>
      <c r="F93" s="29" t="s">
        <v>6</v>
      </c>
      <c r="G93" s="29"/>
      <c r="H93" s="29" t="s">
        <v>6</v>
      </c>
      <c r="I93" s="29"/>
      <c r="J93" s="29" t="s">
        <v>6</v>
      </c>
      <c r="K93" s="29"/>
      <c r="L93" s="29" t="s">
        <v>6</v>
      </c>
    </row>
    <row r="94" spans="1:12" x14ac:dyDescent="0.35">
      <c r="A94" s="29" t="s">
        <v>46</v>
      </c>
      <c r="B94" s="27" t="s">
        <v>57</v>
      </c>
      <c r="C94" s="6"/>
      <c r="D94" s="28">
        <f>D83</f>
        <v>75.94</v>
      </c>
      <c r="E94" s="7"/>
      <c r="F94" s="28">
        <f>F83</f>
        <v>75.94</v>
      </c>
      <c r="G94" s="7"/>
      <c r="H94" s="28">
        <f>H83</f>
        <v>112.12</v>
      </c>
      <c r="I94" s="7"/>
      <c r="J94" s="28">
        <f>J83</f>
        <v>187.3</v>
      </c>
      <c r="K94" s="7"/>
      <c r="L94" s="28">
        <f>L83</f>
        <v>112.12</v>
      </c>
    </row>
    <row r="95" spans="1:12" x14ac:dyDescent="0.35">
      <c r="A95" s="29" t="s">
        <v>54</v>
      </c>
      <c r="B95" s="27" t="s">
        <v>58</v>
      </c>
      <c r="C95" s="6"/>
      <c r="D95" s="28">
        <f>D89</f>
        <v>0</v>
      </c>
      <c r="E95" s="7"/>
      <c r="F95" s="28">
        <f>F89</f>
        <v>0</v>
      </c>
      <c r="G95" s="7"/>
      <c r="H95" s="28">
        <f>H89</f>
        <v>0</v>
      </c>
      <c r="I95" s="7"/>
      <c r="J95" s="28">
        <f>J89</f>
        <v>0</v>
      </c>
      <c r="K95" s="7"/>
      <c r="L95" s="28">
        <f>L89</f>
        <v>0</v>
      </c>
    </row>
    <row r="96" spans="1:12" x14ac:dyDescent="0.35">
      <c r="A96" s="116" t="s">
        <v>9</v>
      </c>
      <c r="B96" s="116"/>
      <c r="C96" s="27"/>
      <c r="D96" s="4">
        <f>ROUND(SUM(D94:D95),2)</f>
        <v>75.94</v>
      </c>
      <c r="E96" s="27"/>
      <c r="F96" s="4">
        <f>ROUND(SUM(F94:F95),2)</f>
        <v>75.94</v>
      </c>
      <c r="G96" s="27"/>
      <c r="H96" s="4">
        <f>ROUND(SUM(H94:H95),2)</f>
        <v>112.12</v>
      </c>
      <c r="I96" s="27"/>
      <c r="J96" s="4">
        <f>ROUND(SUM(J94:J95),2)</f>
        <v>187.3</v>
      </c>
      <c r="K96" s="27"/>
      <c r="L96" s="4">
        <f>ROUND(SUM(L94:L95),2)</f>
        <v>112.12</v>
      </c>
    </row>
    <row r="98" spans="1:13" ht="15" customHeight="1" x14ac:dyDescent="0.35"/>
    <row r="99" spans="1:13" ht="40" customHeight="1" x14ac:dyDescent="0.35">
      <c r="A99" s="96" t="s">
        <v>59</v>
      </c>
      <c r="B99" s="96"/>
      <c r="C99" s="96" t="str">
        <f>$C$19</f>
        <v>Copeiragem</v>
      </c>
      <c r="D99" s="96"/>
      <c r="E99" s="96" t="str">
        <f>$E$19</f>
        <v>Carregador</v>
      </c>
      <c r="F99" s="96"/>
      <c r="G99" s="96" t="str">
        <f>$G$19</f>
        <v>Garçom</v>
      </c>
      <c r="H99" s="96"/>
      <c r="I99" s="96" t="str">
        <f>$I$19</f>
        <v>Encarregado Geral</v>
      </c>
      <c r="J99" s="96"/>
      <c r="K99" s="96" t="str">
        <f>$K$19</f>
        <v>Auxiliar de Encarregado</v>
      </c>
      <c r="L99" s="96"/>
    </row>
    <row r="100" spans="1:13" x14ac:dyDescent="0.35">
      <c r="A100" s="29">
        <v>5</v>
      </c>
      <c r="B100" s="29" t="s">
        <v>60</v>
      </c>
      <c r="C100" s="29"/>
      <c r="D100" s="29" t="s">
        <v>6</v>
      </c>
      <c r="E100" s="29"/>
      <c r="F100" s="29" t="s">
        <v>6</v>
      </c>
      <c r="G100" s="29"/>
      <c r="H100" s="29" t="s">
        <v>6</v>
      </c>
      <c r="I100" s="29"/>
      <c r="J100" s="29" t="s">
        <v>6</v>
      </c>
      <c r="K100" s="29"/>
      <c r="L100" s="29" t="s">
        <v>6</v>
      </c>
    </row>
    <row r="101" spans="1:13" x14ac:dyDescent="0.35">
      <c r="A101" s="29" t="s">
        <v>0</v>
      </c>
      <c r="B101" s="27" t="s">
        <v>273</v>
      </c>
      <c r="C101" s="6"/>
      <c r="D101" s="28">
        <f>Uniformes!B10</f>
        <v>78.349999999999994</v>
      </c>
      <c r="E101" s="7"/>
      <c r="F101" s="28">
        <f>Uniformes!B26</f>
        <v>163.51600000000002</v>
      </c>
      <c r="G101" s="7"/>
      <c r="H101" s="28">
        <f>Uniformes!B44</f>
        <v>112.765</v>
      </c>
      <c r="I101" s="7"/>
      <c r="J101" s="28">
        <f>Uniformes!B61</f>
        <v>73.650000000000006</v>
      </c>
      <c r="K101" s="7"/>
      <c r="L101" s="28">
        <f>Uniformes!B61</f>
        <v>73.650000000000006</v>
      </c>
    </row>
    <row r="102" spans="1:13" x14ac:dyDescent="0.35">
      <c r="A102" s="29" t="s">
        <v>1</v>
      </c>
      <c r="B102" s="27" t="s">
        <v>61</v>
      </c>
      <c r="C102" s="6"/>
      <c r="D102" s="83">
        <f>Mat_Ins_Copeiragem!L56</f>
        <v>973.40577777777764</v>
      </c>
      <c r="E102" s="7"/>
      <c r="F102" s="29"/>
      <c r="G102" s="7"/>
      <c r="H102" s="29"/>
      <c r="I102" s="7"/>
      <c r="J102" s="29"/>
      <c r="K102" s="7"/>
      <c r="L102" s="29"/>
    </row>
    <row r="103" spans="1:13" x14ac:dyDescent="0.35">
      <c r="A103" s="29" t="s">
        <v>2</v>
      </c>
      <c r="B103" s="27" t="s">
        <v>62</v>
      </c>
      <c r="C103" s="6"/>
      <c r="D103" s="29"/>
      <c r="E103" s="7"/>
      <c r="F103" s="29"/>
      <c r="G103" s="7"/>
      <c r="H103" s="29"/>
      <c r="I103" s="7"/>
      <c r="J103" s="29"/>
      <c r="K103" s="7"/>
      <c r="L103" s="29"/>
    </row>
    <row r="104" spans="1:13" x14ac:dyDescent="0.35">
      <c r="A104" s="32" t="s">
        <v>3</v>
      </c>
      <c r="B104" s="9" t="s">
        <v>8</v>
      </c>
      <c r="C104" s="6"/>
      <c r="D104" s="29"/>
      <c r="E104" s="7"/>
      <c r="F104" s="29"/>
      <c r="G104" s="7"/>
      <c r="H104" s="29"/>
      <c r="I104" s="7"/>
      <c r="J104" s="29"/>
      <c r="K104" s="7"/>
      <c r="L104" s="29"/>
    </row>
    <row r="105" spans="1:13" x14ac:dyDescent="0.35">
      <c r="A105" s="116" t="s">
        <v>9</v>
      </c>
      <c r="B105" s="116"/>
      <c r="C105" s="27"/>
      <c r="D105" s="4">
        <f>ROUND(SUM(D101:D104),2)</f>
        <v>1051.76</v>
      </c>
      <c r="E105" s="27"/>
      <c r="F105" s="4">
        <f>ROUND(SUM(F101:F104),2)</f>
        <v>163.52000000000001</v>
      </c>
      <c r="G105" s="27"/>
      <c r="H105" s="4">
        <f>ROUND(SUM(H101:H104),2)</f>
        <v>112.77</v>
      </c>
      <c r="I105" s="27"/>
      <c r="J105" s="4">
        <f>ROUND(SUM(J101:J104),2)</f>
        <v>73.650000000000006</v>
      </c>
      <c r="K105" s="27"/>
      <c r="L105" s="4">
        <f>ROUND(SUM(L101:L104),2)</f>
        <v>73.650000000000006</v>
      </c>
    </row>
    <row r="107" spans="1:13" ht="15" customHeight="1" x14ac:dyDescent="0.35"/>
    <row r="108" spans="1:13" ht="40" customHeight="1" x14ac:dyDescent="0.35">
      <c r="A108" s="96" t="s">
        <v>63</v>
      </c>
      <c r="B108" s="96"/>
      <c r="C108" s="96" t="str">
        <f>$C$19</f>
        <v>Copeiragem</v>
      </c>
      <c r="D108" s="96"/>
      <c r="E108" s="96" t="str">
        <f>$E$19</f>
        <v>Carregador</v>
      </c>
      <c r="F108" s="96"/>
      <c r="G108" s="96" t="str">
        <f>$G$19</f>
        <v>Garçom</v>
      </c>
      <c r="H108" s="96"/>
      <c r="I108" s="96" t="str">
        <f>$I$19</f>
        <v>Encarregado Geral</v>
      </c>
      <c r="J108" s="96"/>
      <c r="K108" s="96" t="str">
        <f>$K$19</f>
        <v>Auxiliar de Encarregado</v>
      </c>
      <c r="L108" s="96"/>
    </row>
    <row r="109" spans="1:13" x14ac:dyDescent="0.35">
      <c r="A109" s="29">
        <v>6</v>
      </c>
      <c r="B109" s="29" t="s">
        <v>100</v>
      </c>
      <c r="C109" s="29" t="s">
        <v>13</v>
      </c>
      <c r="D109" s="29" t="s">
        <v>6</v>
      </c>
      <c r="E109" s="29" t="s">
        <v>13</v>
      </c>
      <c r="F109" s="29" t="s">
        <v>6</v>
      </c>
      <c r="G109" s="29" t="s">
        <v>13</v>
      </c>
      <c r="H109" s="29" t="s">
        <v>6</v>
      </c>
      <c r="I109" s="29" t="s">
        <v>13</v>
      </c>
      <c r="J109" s="29" t="s">
        <v>6</v>
      </c>
      <c r="K109" s="29" t="s">
        <v>13</v>
      </c>
      <c r="L109" s="29" t="s">
        <v>6</v>
      </c>
      <c r="M109" t="s">
        <v>137</v>
      </c>
    </row>
    <row r="110" spans="1:13" x14ac:dyDescent="0.35">
      <c r="A110" s="29" t="s">
        <v>0</v>
      </c>
      <c r="B110" s="27" t="s">
        <v>64</v>
      </c>
      <c r="C110" s="5">
        <f>ROUND(LDI!$B$10,2)</f>
        <v>0.01</v>
      </c>
      <c r="D110" s="28">
        <f>ROUND(D125*C110,2)</f>
        <v>49.27</v>
      </c>
      <c r="E110" s="5">
        <f>ROUND(LDI!$B$10,2)</f>
        <v>0.01</v>
      </c>
      <c r="F110" s="28">
        <f>ROUND(F125*E110,2)</f>
        <v>40.380000000000003</v>
      </c>
      <c r="G110" s="5">
        <f>ROUND(LDI!$B$10,2)</f>
        <v>0.01</v>
      </c>
      <c r="H110" s="28">
        <f>ROUND(H125*G110,2)</f>
        <v>53.01</v>
      </c>
      <c r="I110" s="5">
        <f>ROUND(LDI!$B$10,2)</f>
        <v>0.01</v>
      </c>
      <c r="J110" s="28">
        <f>ROUND(J125*I110,2)</f>
        <v>80.03</v>
      </c>
      <c r="K110" s="5">
        <f>ROUND(LDI!$B$10,2)</f>
        <v>0.01</v>
      </c>
      <c r="L110" s="28">
        <f>ROUND(L125*K110,2)</f>
        <v>52.62</v>
      </c>
      <c r="M110" t="s">
        <v>393</v>
      </c>
    </row>
    <row r="111" spans="1:13" x14ac:dyDescent="0.35">
      <c r="A111" s="29" t="s">
        <v>1</v>
      </c>
      <c r="B111" s="27" t="s">
        <v>65</v>
      </c>
      <c r="C111" s="5">
        <v>0.1</v>
      </c>
      <c r="D111" s="28">
        <f>ROUND((D125+D110)*C111,2)</f>
        <v>497.59</v>
      </c>
      <c r="E111" s="5">
        <v>0.1</v>
      </c>
      <c r="F111" s="28">
        <f>ROUND((F125+F110)*E111,2)</f>
        <v>407.87</v>
      </c>
      <c r="G111" s="5">
        <v>0.1</v>
      </c>
      <c r="H111" s="28">
        <f>ROUND((H125+H110)*G111,2)</f>
        <v>535.42999999999995</v>
      </c>
      <c r="I111" s="5">
        <v>0.1</v>
      </c>
      <c r="J111" s="28">
        <f>ROUND((J125+J110)*I111,2)</f>
        <v>808.26</v>
      </c>
      <c r="K111" s="5">
        <v>0.1</v>
      </c>
      <c r="L111" s="28">
        <f>ROUND((L125+L110)*K111,2)</f>
        <v>531.48</v>
      </c>
    </row>
    <row r="112" spans="1:13" x14ac:dyDescent="0.35">
      <c r="A112" s="29" t="s">
        <v>2</v>
      </c>
      <c r="B112" s="27" t="s">
        <v>66</v>
      </c>
      <c r="C112" s="5">
        <f t="shared" ref="C112:F112" si="13">SUM(C113:C115)</f>
        <v>0.14250000000000002</v>
      </c>
      <c r="D112" s="28">
        <f t="shared" si="13"/>
        <v>909.58</v>
      </c>
      <c r="E112" s="5">
        <f t="shared" si="13"/>
        <v>0.14250000000000002</v>
      </c>
      <c r="F112" s="28">
        <f t="shared" si="13"/>
        <v>745.58999999999992</v>
      </c>
      <c r="G112" s="5">
        <f t="shared" ref="G112:L112" si="14">SUM(G113:G115)</f>
        <v>0.14250000000000002</v>
      </c>
      <c r="H112" s="28">
        <f t="shared" si="14"/>
        <v>978.77</v>
      </c>
      <c r="I112" s="5">
        <f t="shared" si="14"/>
        <v>0.14250000000000002</v>
      </c>
      <c r="J112" s="28">
        <f t="shared" si="14"/>
        <v>1477.49</v>
      </c>
      <c r="K112" s="5">
        <f t="shared" si="14"/>
        <v>0.14250000000000002</v>
      </c>
      <c r="L112" s="28">
        <f t="shared" si="14"/>
        <v>971.54</v>
      </c>
      <c r="M112" t="s">
        <v>173</v>
      </c>
    </row>
    <row r="113" spans="1:13" x14ac:dyDescent="0.35">
      <c r="A113" s="32" t="s">
        <v>67</v>
      </c>
      <c r="B113" s="9" t="s">
        <v>68</v>
      </c>
      <c r="C113" s="5">
        <v>1.6500000000000001E-2</v>
      </c>
      <c r="D113" s="28">
        <f>ROUND(C113*D127,2)</f>
        <v>105.32</v>
      </c>
      <c r="E113" s="5">
        <v>1.6500000000000001E-2</v>
      </c>
      <c r="F113" s="28">
        <f>ROUND(E113*F127,2)</f>
        <v>86.33</v>
      </c>
      <c r="G113" s="5">
        <v>1.6500000000000001E-2</v>
      </c>
      <c r="H113" s="28">
        <f>ROUND(G113*H127,2)</f>
        <v>113.33</v>
      </c>
      <c r="I113" s="5">
        <v>1.6500000000000001E-2</v>
      </c>
      <c r="J113" s="28">
        <f>ROUND(I113*J127,2)</f>
        <v>171.08</v>
      </c>
      <c r="K113" s="5">
        <v>1.6500000000000001E-2</v>
      </c>
      <c r="L113" s="28">
        <f>ROUND(K113*L127,2)</f>
        <v>112.49</v>
      </c>
      <c r="M113" t="s">
        <v>174</v>
      </c>
    </row>
    <row r="114" spans="1:13" x14ac:dyDescent="0.35">
      <c r="A114" s="32" t="s">
        <v>69</v>
      </c>
      <c r="B114" s="9" t="s">
        <v>70</v>
      </c>
      <c r="C114" s="5">
        <v>7.5999999999999998E-2</v>
      </c>
      <c r="D114" s="28">
        <f>ROUND(C114*D127,2)</f>
        <v>485.11</v>
      </c>
      <c r="E114" s="5">
        <v>7.5999999999999998E-2</v>
      </c>
      <c r="F114" s="28">
        <f>ROUND(E114*F127,2)</f>
        <v>397.65</v>
      </c>
      <c r="G114" s="5">
        <v>7.5999999999999998E-2</v>
      </c>
      <c r="H114" s="28">
        <f>ROUND(G114*H127,2)</f>
        <v>522.01</v>
      </c>
      <c r="I114" s="5">
        <v>7.5999999999999998E-2</v>
      </c>
      <c r="J114" s="28">
        <f>ROUND(I114*J127,2)</f>
        <v>787.99</v>
      </c>
      <c r="K114" s="5">
        <v>7.5999999999999998E-2</v>
      </c>
      <c r="L114" s="28">
        <f>ROUND(K114*L127,2)</f>
        <v>518.16</v>
      </c>
      <c r="M114" t="s">
        <v>175</v>
      </c>
    </row>
    <row r="115" spans="1:13" x14ac:dyDescent="0.35">
      <c r="A115" s="29" t="s">
        <v>71</v>
      </c>
      <c r="B115" s="27" t="s">
        <v>72</v>
      </c>
      <c r="C115" s="5">
        <v>0.05</v>
      </c>
      <c r="D115" s="28">
        <f>ROUND(C115*D127,2)</f>
        <v>319.14999999999998</v>
      </c>
      <c r="E115" s="5">
        <v>0.05</v>
      </c>
      <c r="F115" s="28">
        <f>ROUND(E115*F127,2)</f>
        <v>261.61</v>
      </c>
      <c r="G115" s="5">
        <v>0.05</v>
      </c>
      <c r="H115" s="28">
        <f>ROUND(G115*H127,2)</f>
        <v>343.43</v>
      </c>
      <c r="I115" s="5">
        <v>0.05</v>
      </c>
      <c r="J115" s="28">
        <f>ROUND(I115*J127,2)</f>
        <v>518.41999999999996</v>
      </c>
      <c r="K115" s="5">
        <v>0.05</v>
      </c>
      <c r="L115" s="28">
        <f>ROUND(K115*L127,2)</f>
        <v>340.89</v>
      </c>
    </row>
    <row r="116" spans="1:13" x14ac:dyDescent="0.35">
      <c r="A116" s="116" t="s">
        <v>9</v>
      </c>
      <c r="B116" s="116"/>
      <c r="C116" s="27"/>
      <c r="D116" s="4">
        <f>ROUND(SUM(D110+D111+D112),2)</f>
        <v>1456.44</v>
      </c>
      <c r="E116" s="27"/>
      <c r="F116" s="4">
        <f>ROUND(SUM(F110+F111+F112),2)</f>
        <v>1193.8399999999999</v>
      </c>
      <c r="G116" s="27"/>
      <c r="H116" s="4">
        <f>ROUND(SUM(H110+H111+H112),2)</f>
        <v>1567.21</v>
      </c>
      <c r="I116" s="27"/>
      <c r="J116" s="4">
        <f>ROUND(SUM(J110+J111+J112),2)</f>
        <v>2365.7800000000002</v>
      </c>
      <c r="K116" s="27"/>
      <c r="L116" s="4">
        <f>ROUND(SUM(L110+L111+L112),2)</f>
        <v>1555.64</v>
      </c>
    </row>
    <row r="117" spans="1:13" ht="15" customHeight="1" x14ac:dyDescent="0.35">
      <c r="A117" s="33"/>
      <c r="B117" s="33"/>
      <c r="D117" s="11"/>
      <c r="F117" s="11"/>
      <c r="G117" s="11"/>
      <c r="H117" s="11"/>
      <c r="I117" s="11"/>
      <c r="J117" s="11"/>
      <c r="K117" s="11"/>
      <c r="L117" s="11"/>
    </row>
    <row r="118" spans="1:13" ht="40" customHeight="1" x14ac:dyDescent="0.35">
      <c r="A118" s="96" t="s">
        <v>73</v>
      </c>
      <c r="B118" s="96"/>
      <c r="C118" s="96" t="str">
        <f>$C$19</f>
        <v>Copeiragem</v>
      </c>
      <c r="D118" s="96"/>
      <c r="E118" s="96" t="str">
        <f>$E$19</f>
        <v>Carregador</v>
      </c>
      <c r="F118" s="96"/>
      <c r="G118" s="96" t="str">
        <f>$G$19</f>
        <v>Garçom</v>
      </c>
      <c r="H118" s="96"/>
      <c r="I118" s="96" t="str">
        <f>$I$19</f>
        <v>Encarregado Geral</v>
      </c>
      <c r="J118" s="96"/>
      <c r="K118" s="96" t="str">
        <f>$K$19</f>
        <v>Auxiliar de Encarregado</v>
      </c>
      <c r="L118" s="96"/>
    </row>
    <row r="119" spans="1:13" x14ac:dyDescent="0.35">
      <c r="A119" s="123" t="s">
        <v>74</v>
      </c>
      <c r="B119" s="123"/>
      <c r="C119" s="29" t="s">
        <v>13</v>
      </c>
      <c r="D119" s="29" t="s">
        <v>6</v>
      </c>
      <c r="E119" s="29" t="s">
        <v>13</v>
      </c>
      <c r="F119" s="29" t="s">
        <v>6</v>
      </c>
      <c r="G119" s="29" t="s">
        <v>13</v>
      </c>
      <c r="H119" s="29" t="s">
        <v>6</v>
      </c>
      <c r="I119" s="29" t="s">
        <v>13</v>
      </c>
      <c r="J119" s="29" t="s">
        <v>6</v>
      </c>
      <c r="K119" s="29" t="s">
        <v>13</v>
      </c>
      <c r="L119" s="29" t="s">
        <v>6</v>
      </c>
    </row>
    <row r="120" spans="1:13" x14ac:dyDescent="0.35">
      <c r="A120" s="29" t="s">
        <v>0</v>
      </c>
      <c r="B120" s="27" t="s">
        <v>75</v>
      </c>
      <c r="C120" s="7">
        <f>(D120/$D$127)</f>
        <v>0.25530453314722307</v>
      </c>
      <c r="D120" s="28">
        <f>D25</f>
        <v>1629.62</v>
      </c>
      <c r="E120" s="34">
        <f>F120/$F$127</f>
        <v>0.31145991071209655</v>
      </c>
      <c r="F120" s="28">
        <f>F25</f>
        <v>1629.62</v>
      </c>
      <c r="G120" s="34">
        <f>31%</f>
        <v>0.31</v>
      </c>
      <c r="H120" s="28">
        <f>H25</f>
        <v>2405.96</v>
      </c>
      <c r="I120" s="34">
        <v>0.52</v>
      </c>
      <c r="J120" s="28">
        <f>J25</f>
        <v>4019.36</v>
      </c>
      <c r="K120" s="34">
        <v>0.31</v>
      </c>
      <c r="L120" s="28">
        <f>L25</f>
        <v>2405.96</v>
      </c>
    </row>
    <row r="121" spans="1:13" x14ac:dyDescent="0.35">
      <c r="A121" s="29" t="s">
        <v>1</v>
      </c>
      <c r="B121" s="27" t="s">
        <v>76</v>
      </c>
      <c r="C121" s="7">
        <f t="shared" ref="C121:C126" si="15">(D121/$D$127)</f>
        <v>0.32157072491623206</v>
      </c>
      <c r="D121" s="28">
        <f>D62</f>
        <v>2052.6</v>
      </c>
      <c r="E121" s="34">
        <f>F121/$F$127</f>
        <v>0.39230164868352713</v>
      </c>
      <c r="F121" s="28">
        <f>F62</f>
        <v>2052.6</v>
      </c>
      <c r="G121" s="34">
        <v>0.32</v>
      </c>
      <c r="H121" s="28">
        <f>H62</f>
        <v>2498.2199999999998</v>
      </c>
      <c r="I121" s="34">
        <v>0.44</v>
      </c>
      <c r="J121" s="28">
        <f>J62</f>
        <v>3434.4799999999996</v>
      </c>
      <c r="K121" s="34">
        <v>0.32</v>
      </c>
      <c r="L121" s="28">
        <f>L62</f>
        <v>2498.2199999999998</v>
      </c>
    </row>
    <row r="122" spans="1:13" x14ac:dyDescent="0.35">
      <c r="A122" s="29" t="s">
        <v>2</v>
      </c>
      <c r="B122" s="27" t="s">
        <v>77</v>
      </c>
      <c r="C122" s="7">
        <f t="shared" si="15"/>
        <v>1.827968049460487E-2</v>
      </c>
      <c r="D122" s="28">
        <f>D72</f>
        <v>116.68</v>
      </c>
      <c r="E122" s="34">
        <f>F122/$F$127</f>
        <v>2.230037823657505E-2</v>
      </c>
      <c r="F122" s="28">
        <f>F72</f>
        <v>116.68</v>
      </c>
      <c r="G122" s="34">
        <v>0.02</v>
      </c>
      <c r="H122" s="28">
        <f>H72</f>
        <v>172.26</v>
      </c>
      <c r="I122" s="34">
        <v>0.04</v>
      </c>
      <c r="J122" s="28">
        <f>J72</f>
        <v>287.77</v>
      </c>
      <c r="K122" s="34">
        <v>0.02</v>
      </c>
      <c r="L122" s="28">
        <f>L72</f>
        <v>172.26</v>
      </c>
    </row>
    <row r="123" spans="1:13" x14ac:dyDescent="0.35">
      <c r="A123" s="32" t="s">
        <v>3</v>
      </c>
      <c r="B123" s="9" t="s">
        <v>78</v>
      </c>
      <c r="C123" s="7">
        <f t="shared" si="15"/>
        <v>1.1897145498459837E-2</v>
      </c>
      <c r="D123" s="28">
        <f>D96</f>
        <v>75.94</v>
      </c>
      <c r="E123" s="34">
        <f>F123/$F$127</f>
        <v>1.4513976030900834E-2</v>
      </c>
      <c r="F123" s="28">
        <f>F96</f>
        <v>75.94</v>
      </c>
      <c r="G123" s="34">
        <v>0.01</v>
      </c>
      <c r="H123" s="28">
        <f>H96</f>
        <v>112.12</v>
      </c>
      <c r="I123" s="34">
        <v>0.02</v>
      </c>
      <c r="J123" s="28">
        <f>J96</f>
        <v>187.3</v>
      </c>
      <c r="K123" s="34">
        <v>0.01</v>
      </c>
      <c r="L123" s="28">
        <f>L96</f>
        <v>112.12</v>
      </c>
    </row>
    <row r="124" spans="1:13" x14ac:dyDescent="0.35">
      <c r="A124" s="32" t="s">
        <v>22</v>
      </c>
      <c r="B124" s="9" t="s">
        <v>79</v>
      </c>
      <c r="C124" s="7">
        <f t="shared" si="15"/>
        <v>0.16477405516802895</v>
      </c>
      <c r="D124" s="28">
        <f>D105</f>
        <v>1051.76</v>
      </c>
      <c r="E124" s="34">
        <f>F124/$F$127</f>
        <v>3.1252638406280016E-2</v>
      </c>
      <c r="F124" s="28">
        <f>F105</f>
        <v>163.52000000000001</v>
      </c>
      <c r="G124" s="34">
        <v>0.02</v>
      </c>
      <c r="H124" s="28">
        <f>H105</f>
        <v>112.77</v>
      </c>
      <c r="I124" s="34">
        <v>0.01</v>
      </c>
      <c r="J124" s="28">
        <f>J105</f>
        <v>73.650000000000006</v>
      </c>
      <c r="K124" s="34">
        <v>0.01</v>
      </c>
      <c r="L124" s="28">
        <f>L105</f>
        <v>73.650000000000006</v>
      </c>
    </row>
    <row r="125" spans="1:13" x14ac:dyDescent="0.35">
      <c r="A125" s="125" t="s">
        <v>80</v>
      </c>
      <c r="B125" s="125"/>
      <c r="C125" s="7"/>
      <c r="D125" s="35">
        <f>ROUND(SUM(D120:D124),2)</f>
        <v>4926.6000000000004</v>
      </c>
      <c r="E125" s="34"/>
      <c r="F125" s="35">
        <f>ROUND(SUM(F120:F124),2)</f>
        <v>4038.36</v>
      </c>
      <c r="G125" s="34"/>
      <c r="H125" s="35">
        <f>ROUND(SUM(H120:H124),2)</f>
        <v>5301.33</v>
      </c>
      <c r="I125" s="34"/>
      <c r="J125" s="35">
        <f>ROUND(SUM(J120:J124),2)</f>
        <v>8002.56</v>
      </c>
      <c r="K125" s="34"/>
      <c r="L125" s="35">
        <f>ROUND(SUM(L120:L124),2)</f>
        <v>5262.21</v>
      </c>
    </row>
    <row r="126" spans="1:13" x14ac:dyDescent="0.35">
      <c r="A126" s="32" t="s">
        <v>24</v>
      </c>
      <c r="B126" s="36" t="s">
        <v>63</v>
      </c>
      <c r="C126" s="7">
        <f t="shared" si="15"/>
        <v>0.2281732761361186</v>
      </c>
      <c r="D126" s="28">
        <f>D116</f>
        <v>1456.44</v>
      </c>
      <c r="E126" s="34">
        <f>F126/$F$127</f>
        <v>0.22817178225876547</v>
      </c>
      <c r="F126" s="28">
        <f>F116</f>
        <v>1193.8399999999999</v>
      </c>
      <c r="G126" s="34">
        <v>0.14000000000000001</v>
      </c>
      <c r="H126" s="28">
        <f>H116</f>
        <v>1567.21</v>
      </c>
      <c r="I126" s="34">
        <v>0.21</v>
      </c>
      <c r="J126" s="28">
        <f>J116</f>
        <v>2365.7800000000002</v>
      </c>
      <c r="K126" s="34">
        <v>0.13</v>
      </c>
      <c r="L126" s="28">
        <f>L116</f>
        <v>1555.64</v>
      </c>
    </row>
    <row r="127" spans="1:13" x14ac:dyDescent="0.35">
      <c r="A127" s="125" t="s">
        <v>81</v>
      </c>
      <c r="B127" s="125"/>
      <c r="C127" s="37">
        <f>SUM(C120:C126)</f>
        <v>0.99999941536066728</v>
      </c>
      <c r="D127" s="35">
        <f>(D125+D110+D111)/(1-C112)</f>
        <v>6383.0437317784272</v>
      </c>
      <c r="E127" s="34">
        <f>SUM(E120:E126)</f>
        <v>1.0000003343281452</v>
      </c>
      <c r="F127" s="35">
        <f>(F125+F110+F111)/(1-E112)</f>
        <v>5232.198250728864</v>
      </c>
      <c r="G127" s="34">
        <f>SUM(G120:G126)</f>
        <v>0.82000000000000006</v>
      </c>
      <c r="H127" s="35">
        <f>(H125+H110+H111)/(1-G112)</f>
        <v>6868.5364431486887</v>
      </c>
      <c r="I127" s="34">
        <f>SUM(I120:I126)</f>
        <v>1.24</v>
      </c>
      <c r="J127" s="35">
        <f>(J125+J110+J111)/(1-I112)</f>
        <v>10368.338192419826</v>
      </c>
      <c r="K127" s="34">
        <f>SUM(K120:K126)</f>
        <v>0.8</v>
      </c>
      <c r="L127" s="35">
        <f>(L125+L110+L111)/(1-K112)</f>
        <v>6817.8542274052479</v>
      </c>
    </row>
    <row r="128" spans="1:13" x14ac:dyDescent="0.35">
      <c r="D128" s="38">
        <f>D127/D120</f>
        <v>3.9168908897647472</v>
      </c>
      <c r="E128" s="38"/>
      <c r="F128" s="38">
        <f>F127/F120</f>
        <v>3.2106860806377342</v>
      </c>
      <c r="G128" s="38">
        <f>G127/G120</f>
        <v>2.645161290322581</v>
      </c>
      <c r="H128" s="38"/>
      <c r="I128" s="38">
        <f>I127/I120</f>
        <v>2.3846153846153846</v>
      </c>
      <c r="J128" s="38"/>
      <c r="K128" s="38">
        <f>K127/K120</f>
        <v>2.580645161290323</v>
      </c>
      <c r="L128" s="38"/>
    </row>
    <row r="129" spans="1:22" ht="15" customHeight="1" x14ac:dyDescent="0.35">
      <c r="D129" s="38">
        <f>(D127-D120)/D120</f>
        <v>2.9168908897647472</v>
      </c>
      <c r="E129" s="38"/>
      <c r="F129" s="38">
        <f>(F127-F120)/F120</f>
        <v>2.2106860806377342</v>
      </c>
      <c r="G129" s="38">
        <f>(G127-G120)/G120</f>
        <v>1.6451612903225807</v>
      </c>
      <c r="H129" s="38"/>
      <c r="I129" s="38">
        <f>(I127-I120)/I120</f>
        <v>1.3846153846153846</v>
      </c>
      <c r="J129" s="38"/>
      <c r="K129" s="38">
        <f>(K127-K120)/K120</f>
        <v>1.5806451612903227</v>
      </c>
      <c r="L129" s="38"/>
    </row>
    <row r="130" spans="1:22" ht="40" customHeight="1" x14ac:dyDescent="0.35">
      <c r="A130" s="96" t="s">
        <v>352</v>
      </c>
      <c r="B130" s="96"/>
      <c r="C130" s="96"/>
      <c r="D130" s="96"/>
      <c r="E130" s="96"/>
      <c r="F130" s="96"/>
      <c r="G130" s="96"/>
      <c r="H130" s="96"/>
      <c r="I130" s="96"/>
      <c r="J130" s="96"/>
      <c r="K130" s="96"/>
      <c r="L130" s="96"/>
    </row>
    <row r="131" spans="1:22" x14ac:dyDescent="0.35">
      <c r="A131" s="96" t="s">
        <v>82</v>
      </c>
      <c r="B131" s="96"/>
      <c r="C131" s="96" t="s">
        <v>83</v>
      </c>
      <c r="D131" s="96"/>
      <c r="E131" s="96" t="s">
        <v>84</v>
      </c>
      <c r="F131" s="96"/>
      <c r="G131" s="96" t="s">
        <v>85</v>
      </c>
      <c r="H131" s="96"/>
      <c r="I131" s="96" t="s">
        <v>86</v>
      </c>
      <c r="J131" s="96"/>
      <c r="K131" s="96" t="s">
        <v>87</v>
      </c>
      <c r="L131" s="96"/>
    </row>
    <row r="132" spans="1:22" x14ac:dyDescent="0.35">
      <c r="A132" s="29" t="s">
        <v>88</v>
      </c>
      <c r="B132" s="39" t="str">
        <f>C19</f>
        <v>Copeiragem</v>
      </c>
      <c r="C132" s="126">
        <f>ROUND(D127,2)</f>
        <v>6383.04</v>
      </c>
      <c r="D132" s="126"/>
      <c r="E132" s="127">
        <v>1</v>
      </c>
      <c r="F132" s="127"/>
      <c r="G132" s="126">
        <f>(C132*E132)</f>
        <v>6383.04</v>
      </c>
      <c r="H132" s="126"/>
      <c r="I132" s="127">
        <v>21</v>
      </c>
      <c r="J132" s="127"/>
      <c r="K132" s="126">
        <f>G132*I132</f>
        <v>134043.84</v>
      </c>
      <c r="L132" s="126"/>
    </row>
    <row r="133" spans="1:22" x14ac:dyDescent="0.35">
      <c r="A133" s="29" t="s">
        <v>89</v>
      </c>
      <c r="B133" s="39" t="str">
        <f>E19</f>
        <v>Carregador</v>
      </c>
      <c r="C133" s="126">
        <f>ROUND(F127,2)</f>
        <v>5232.2</v>
      </c>
      <c r="D133" s="126"/>
      <c r="E133" s="127">
        <v>1</v>
      </c>
      <c r="F133" s="127"/>
      <c r="G133" s="130">
        <f t="shared" ref="G133" si="16">(C133*E133)</f>
        <v>5232.2</v>
      </c>
      <c r="H133" s="130"/>
      <c r="I133" s="127">
        <v>2</v>
      </c>
      <c r="J133" s="127"/>
      <c r="K133" s="126">
        <f t="shared" ref="K133" si="17">G133*I133</f>
        <v>10464.4</v>
      </c>
      <c r="L133" s="126"/>
    </row>
    <row r="134" spans="1:22" x14ac:dyDescent="0.35">
      <c r="A134" s="32" t="s">
        <v>90</v>
      </c>
      <c r="B134" s="39" t="str">
        <f>G19</f>
        <v>Garçom</v>
      </c>
      <c r="C134" s="126">
        <f>ROUND(H127,2)</f>
        <v>6868.54</v>
      </c>
      <c r="D134" s="126"/>
      <c r="E134" s="97">
        <v>1</v>
      </c>
      <c r="F134" s="99"/>
      <c r="G134" s="126">
        <f>(C134*E134)</f>
        <v>6868.54</v>
      </c>
      <c r="H134" s="126"/>
      <c r="I134" s="97">
        <v>17</v>
      </c>
      <c r="J134" s="99"/>
      <c r="K134" s="126">
        <f>G134*I134</f>
        <v>116765.18</v>
      </c>
      <c r="L134" s="126"/>
      <c r="N134" s="55"/>
      <c r="O134" s="55"/>
      <c r="P134" s="55"/>
      <c r="Q134" s="55"/>
      <c r="R134" s="55"/>
      <c r="S134" s="55"/>
      <c r="T134" s="55"/>
      <c r="V134" s="55"/>
    </row>
    <row r="135" spans="1:22" x14ac:dyDescent="0.35">
      <c r="A135" s="32" t="s">
        <v>91</v>
      </c>
      <c r="B135" s="39" t="str">
        <f>I19</f>
        <v>Encarregado Geral</v>
      </c>
      <c r="C135" s="126">
        <f>ROUND(J127,2)</f>
        <v>10368.34</v>
      </c>
      <c r="D135" s="126"/>
      <c r="E135" s="97">
        <v>1</v>
      </c>
      <c r="F135" s="99"/>
      <c r="G135" s="126">
        <f>(C135*E135)</f>
        <v>10368.34</v>
      </c>
      <c r="H135" s="126"/>
      <c r="I135" s="97">
        <v>1</v>
      </c>
      <c r="J135" s="99"/>
      <c r="K135" s="128">
        <f>G135*I135</f>
        <v>10368.34</v>
      </c>
      <c r="L135" s="129"/>
      <c r="N135" s="55"/>
      <c r="O135" s="55"/>
      <c r="P135" s="55"/>
      <c r="Q135" s="55"/>
      <c r="R135" s="55"/>
      <c r="S135" s="55"/>
      <c r="T135" s="55"/>
      <c r="V135" s="55"/>
    </row>
    <row r="136" spans="1:22" x14ac:dyDescent="0.35">
      <c r="A136" s="32" t="s">
        <v>92</v>
      </c>
      <c r="B136" s="39" t="str">
        <f>K19</f>
        <v>Auxiliar de Encarregado</v>
      </c>
      <c r="C136" s="126">
        <f>ROUND(L127,2)</f>
        <v>6817.85</v>
      </c>
      <c r="D136" s="126"/>
      <c r="E136" s="97">
        <v>1</v>
      </c>
      <c r="F136" s="99"/>
      <c r="G136" s="130">
        <f t="shared" ref="G136" si="18">(C136*E136)</f>
        <v>6817.85</v>
      </c>
      <c r="H136" s="130"/>
      <c r="I136" s="97">
        <v>1</v>
      </c>
      <c r="J136" s="99"/>
      <c r="K136" s="126">
        <f t="shared" ref="K136" si="19">G136*I136</f>
        <v>6817.85</v>
      </c>
      <c r="L136" s="126"/>
      <c r="N136" s="55"/>
      <c r="O136" s="55"/>
      <c r="P136" s="55"/>
      <c r="Q136" s="55"/>
      <c r="R136" s="55"/>
      <c r="S136" s="55"/>
      <c r="T136" s="55"/>
      <c r="V136" s="55"/>
    </row>
    <row r="137" spans="1:22" x14ac:dyDescent="0.35">
      <c r="A137" s="131" t="s">
        <v>93</v>
      </c>
      <c r="B137" s="131"/>
      <c r="C137" s="123"/>
      <c r="D137" s="123"/>
      <c r="E137" s="123"/>
      <c r="F137" s="123"/>
      <c r="G137" s="123"/>
      <c r="H137" s="123"/>
      <c r="I137" s="127">
        <f>SUM(I132:I136)</f>
        <v>42</v>
      </c>
      <c r="J137" s="127"/>
      <c r="K137" s="132">
        <f>SUM(K132:K136)</f>
        <v>278459.61</v>
      </c>
      <c r="L137" s="132"/>
    </row>
    <row r="138" spans="1:22" x14ac:dyDescent="0.35">
      <c r="A138" s="131" t="s">
        <v>200</v>
      </c>
      <c r="B138" s="131"/>
      <c r="C138" s="123"/>
      <c r="D138" s="123"/>
      <c r="E138" s="123"/>
      <c r="F138" s="123"/>
      <c r="G138" s="123"/>
      <c r="H138" s="123"/>
      <c r="I138" s="123"/>
      <c r="J138" s="123"/>
      <c r="K138" s="132">
        <f>K137*12</f>
        <v>3341515.32</v>
      </c>
      <c r="L138" s="132"/>
    </row>
    <row r="139" spans="1:22" x14ac:dyDescent="0.35">
      <c r="A139" s="131" t="s">
        <v>201</v>
      </c>
      <c r="B139" s="131"/>
      <c r="C139" s="123"/>
      <c r="D139" s="123"/>
      <c r="E139" s="123"/>
      <c r="F139" s="123"/>
      <c r="G139" s="123"/>
      <c r="H139" s="123"/>
      <c r="I139" s="123"/>
      <c r="J139" s="123"/>
      <c r="K139" s="132">
        <f>K137*30</f>
        <v>8353788.2999999998</v>
      </c>
      <c r="L139" s="132"/>
    </row>
  </sheetData>
  <mergeCells count="190">
    <mergeCell ref="C3:D3"/>
    <mergeCell ref="E3:F3"/>
    <mergeCell ref="G3:H3"/>
    <mergeCell ref="I3:J3"/>
    <mergeCell ref="K3:L3"/>
    <mergeCell ref="C2:D2"/>
    <mergeCell ref="E2:F2"/>
    <mergeCell ref="G2:H2"/>
    <mergeCell ref="I2:J2"/>
    <mergeCell ref="K2:L2"/>
    <mergeCell ref="C5:D5"/>
    <mergeCell ref="E5:F5"/>
    <mergeCell ref="G5:H5"/>
    <mergeCell ref="I5:J5"/>
    <mergeCell ref="K5:L5"/>
    <mergeCell ref="C4:D4"/>
    <mergeCell ref="E4:F4"/>
    <mergeCell ref="G4:H4"/>
    <mergeCell ref="I4:J4"/>
    <mergeCell ref="K4:L4"/>
    <mergeCell ref="K9:L9"/>
    <mergeCell ref="C10:D10"/>
    <mergeCell ref="E10:F10"/>
    <mergeCell ref="G10:H10"/>
    <mergeCell ref="I10:J10"/>
    <mergeCell ref="K8:L8"/>
    <mergeCell ref="C9:D9"/>
    <mergeCell ref="E9:F9"/>
    <mergeCell ref="G9:H9"/>
    <mergeCell ref="I9:J9"/>
    <mergeCell ref="C8:D8"/>
    <mergeCell ref="E8:F8"/>
    <mergeCell ref="G8:H8"/>
    <mergeCell ref="I8:J8"/>
    <mergeCell ref="I13:J13"/>
    <mergeCell ref="K13:L13"/>
    <mergeCell ref="C14:D14"/>
    <mergeCell ref="E14:F14"/>
    <mergeCell ref="G14:H14"/>
    <mergeCell ref="K10:L10"/>
    <mergeCell ref="C13:D13"/>
    <mergeCell ref="E13:F13"/>
    <mergeCell ref="G13:H13"/>
    <mergeCell ref="I15:J15"/>
    <mergeCell ref="K15:L15"/>
    <mergeCell ref="C16:D16"/>
    <mergeCell ref="E16:F16"/>
    <mergeCell ref="G16:H16"/>
    <mergeCell ref="I14:J14"/>
    <mergeCell ref="K14:L14"/>
    <mergeCell ref="C15:D15"/>
    <mergeCell ref="E15:F15"/>
    <mergeCell ref="G15:H15"/>
    <mergeCell ref="I17:J17"/>
    <mergeCell ref="K17:L17"/>
    <mergeCell ref="A19:B19"/>
    <mergeCell ref="C19:D19"/>
    <mergeCell ref="E19:F19"/>
    <mergeCell ref="I16:J16"/>
    <mergeCell ref="K16:L16"/>
    <mergeCell ref="C17:D17"/>
    <mergeCell ref="E17:F17"/>
    <mergeCell ref="G17:H17"/>
    <mergeCell ref="A32:B32"/>
    <mergeCell ref="A35:B35"/>
    <mergeCell ref="C35:D35"/>
    <mergeCell ref="E35:F35"/>
    <mergeCell ref="G28:H28"/>
    <mergeCell ref="I28:J28"/>
    <mergeCell ref="K28:L28"/>
    <mergeCell ref="G19:H19"/>
    <mergeCell ref="I19:J19"/>
    <mergeCell ref="K19:L19"/>
    <mergeCell ref="A25:B25"/>
    <mergeCell ref="A28:B28"/>
    <mergeCell ref="C28:D28"/>
    <mergeCell ref="E28:F28"/>
    <mergeCell ref="G48:H48"/>
    <mergeCell ref="I48:J48"/>
    <mergeCell ref="K48:L48"/>
    <mergeCell ref="A45:B45"/>
    <mergeCell ref="A48:B48"/>
    <mergeCell ref="C48:D48"/>
    <mergeCell ref="E48:F48"/>
    <mergeCell ref="G35:H35"/>
    <mergeCell ref="I35:J35"/>
    <mergeCell ref="K35:L35"/>
    <mergeCell ref="K57:L57"/>
    <mergeCell ref="A62:B62"/>
    <mergeCell ref="A65:B65"/>
    <mergeCell ref="C65:D65"/>
    <mergeCell ref="E65:F65"/>
    <mergeCell ref="E57:F57"/>
    <mergeCell ref="G57:H57"/>
    <mergeCell ref="I57:J57"/>
    <mergeCell ref="A51:A52"/>
    <mergeCell ref="B51:B52"/>
    <mergeCell ref="A54:B54"/>
    <mergeCell ref="A57:B57"/>
    <mergeCell ref="C57:D57"/>
    <mergeCell ref="A83:B83"/>
    <mergeCell ref="A86:B86"/>
    <mergeCell ref="C86:D86"/>
    <mergeCell ref="E86:F86"/>
    <mergeCell ref="G75:H75"/>
    <mergeCell ref="I75:J75"/>
    <mergeCell ref="K75:L75"/>
    <mergeCell ref="G65:H65"/>
    <mergeCell ref="I65:J65"/>
    <mergeCell ref="K65:L65"/>
    <mergeCell ref="A72:B72"/>
    <mergeCell ref="A75:B75"/>
    <mergeCell ref="C75:D75"/>
    <mergeCell ref="E75:F75"/>
    <mergeCell ref="G92:H92"/>
    <mergeCell ref="I92:J92"/>
    <mergeCell ref="K92:L92"/>
    <mergeCell ref="A89:B89"/>
    <mergeCell ref="A92:B92"/>
    <mergeCell ref="C92:D92"/>
    <mergeCell ref="E92:F92"/>
    <mergeCell ref="G86:H86"/>
    <mergeCell ref="I86:J86"/>
    <mergeCell ref="K86:L86"/>
    <mergeCell ref="A105:B105"/>
    <mergeCell ref="A108:B108"/>
    <mergeCell ref="C108:D108"/>
    <mergeCell ref="E108:F108"/>
    <mergeCell ref="G99:H99"/>
    <mergeCell ref="I99:J99"/>
    <mergeCell ref="K99:L99"/>
    <mergeCell ref="A96:B96"/>
    <mergeCell ref="A99:B99"/>
    <mergeCell ref="C99:D99"/>
    <mergeCell ref="E99:F99"/>
    <mergeCell ref="G118:H118"/>
    <mergeCell ref="I118:J118"/>
    <mergeCell ref="K118:L118"/>
    <mergeCell ref="A116:B116"/>
    <mergeCell ref="A118:B118"/>
    <mergeCell ref="C118:D118"/>
    <mergeCell ref="E118:F118"/>
    <mergeCell ref="G108:H108"/>
    <mergeCell ref="I108:J108"/>
    <mergeCell ref="K108:L108"/>
    <mergeCell ref="A119:B119"/>
    <mergeCell ref="A125:B125"/>
    <mergeCell ref="A127:B127"/>
    <mergeCell ref="A130:L130"/>
    <mergeCell ref="A131:B131"/>
    <mergeCell ref="C131:D131"/>
    <mergeCell ref="E131:F131"/>
    <mergeCell ref="G131:H131"/>
    <mergeCell ref="I131:J131"/>
    <mergeCell ref="K131:L131"/>
    <mergeCell ref="C133:D133"/>
    <mergeCell ref="E133:F133"/>
    <mergeCell ref="G133:H133"/>
    <mergeCell ref="I133:J133"/>
    <mergeCell ref="K133:L133"/>
    <mergeCell ref="C132:D132"/>
    <mergeCell ref="E132:F132"/>
    <mergeCell ref="G132:H132"/>
    <mergeCell ref="I132:J132"/>
    <mergeCell ref="K132:L132"/>
    <mergeCell ref="C136:D136"/>
    <mergeCell ref="E136:F136"/>
    <mergeCell ref="G136:H136"/>
    <mergeCell ref="I136:J136"/>
    <mergeCell ref="K136:L136"/>
    <mergeCell ref="C134:D134"/>
    <mergeCell ref="E134:F134"/>
    <mergeCell ref="G134:H134"/>
    <mergeCell ref="I134:J134"/>
    <mergeCell ref="K134:L134"/>
    <mergeCell ref="C135:D135"/>
    <mergeCell ref="E135:F135"/>
    <mergeCell ref="G135:H135"/>
    <mergeCell ref="I135:J135"/>
    <mergeCell ref="K135:L135"/>
    <mergeCell ref="A139:B139"/>
    <mergeCell ref="C139:J139"/>
    <mergeCell ref="K139:L139"/>
    <mergeCell ref="A137:B137"/>
    <mergeCell ref="C137:H137"/>
    <mergeCell ref="I137:J137"/>
    <mergeCell ref="K137:L137"/>
    <mergeCell ref="A138:B138"/>
    <mergeCell ref="C138:J138"/>
    <mergeCell ref="K138:L138"/>
  </mergeCells>
  <pageMargins left="0.51180555555555496" right="0.51180555555555496" top="0.78749999999999998" bottom="0.78749999999999998" header="0.51180555555555496" footer="0.51180555555555496"/>
  <pageSetup paperSize="9" scale="18"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509</TotalTime>
  <Application>Microsoft Excel</Application>
  <DocSecurity>0</DocSecurity>
  <ScaleCrop>false</ScaleCrop>
  <HeadingPairs>
    <vt:vector size="2" baseType="variant">
      <vt:variant>
        <vt:lpstr>Planilhas</vt:lpstr>
      </vt:variant>
      <vt:variant>
        <vt:i4>12</vt:i4>
      </vt:variant>
    </vt:vector>
  </HeadingPairs>
  <TitlesOfParts>
    <vt:vector size="12" baseType="lpstr">
      <vt:lpstr>Assitente Administrativo</vt:lpstr>
      <vt:lpstr>Uniformes</vt:lpstr>
      <vt:lpstr>Mat_Ins_Copeiragem</vt:lpstr>
      <vt:lpstr>LDI</vt:lpstr>
      <vt:lpstr>Planilha de Custos Grupo I</vt:lpstr>
      <vt:lpstr>Planilha de Custos Grupo II</vt:lpstr>
      <vt:lpstr>Planilha de Custos Grupo III</vt:lpstr>
      <vt:lpstr>Planilha de Custos Grupo IV</vt:lpstr>
      <vt:lpstr>Planilha de Custos Grupo V</vt:lpstr>
      <vt:lpstr>Planilha de Custos Grupo VI</vt:lpstr>
      <vt:lpstr>Planilha de Custos Grupo VII</vt:lpstr>
      <vt:lpstr>Demonstrativo do Valor Global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Ivan Luiz Graziato</dc:creator>
  <dc:description/>
  <cp:lastModifiedBy>RICARDO VITOR DUARTE</cp:lastModifiedBy>
  <cp:revision>33</cp:revision>
  <cp:lastPrinted>2024-07-30T02:37:56Z</cp:lastPrinted>
  <dcterms:created xsi:type="dcterms:W3CDTF">2021-12-30T17:46:26Z</dcterms:created>
  <dcterms:modified xsi:type="dcterms:W3CDTF">2024-09-09T19:43:55Z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MSIP_Label_0559fe9b-6987-45ef-b918-e76911e153f0_Enabled">
    <vt:lpwstr>true</vt:lpwstr>
  </property>
  <property fmtid="{D5CDD505-2E9C-101B-9397-08002B2CF9AE}" pid="9" name="MSIP_Label_0559fe9b-6987-45ef-b918-e76911e153f0_SetDate">
    <vt:lpwstr>2023-05-30T12:39:28Z</vt:lpwstr>
  </property>
  <property fmtid="{D5CDD505-2E9C-101B-9397-08002B2CF9AE}" pid="10" name="MSIP_Label_0559fe9b-6987-45ef-b918-e76911e153f0_Method">
    <vt:lpwstr>Privileged</vt:lpwstr>
  </property>
  <property fmtid="{D5CDD505-2E9C-101B-9397-08002B2CF9AE}" pid="11" name="MSIP_Label_0559fe9b-6987-45ef-b918-e76911e153f0_Name">
    <vt:lpwstr>Público</vt:lpwstr>
  </property>
  <property fmtid="{D5CDD505-2E9C-101B-9397-08002B2CF9AE}" pid="12" name="MSIP_Label_0559fe9b-6987-45ef-b918-e76911e153f0_SiteId">
    <vt:lpwstr>eb090420-444c-43f7-91f2-4b8da6bfe8e1</vt:lpwstr>
  </property>
  <property fmtid="{D5CDD505-2E9C-101B-9397-08002B2CF9AE}" pid="13" name="MSIP_Label_0559fe9b-6987-45ef-b918-e76911e153f0_ActionId">
    <vt:lpwstr>1beeb608-9c45-4668-8857-84405555c9ad</vt:lpwstr>
  </property>
  <property fmtid="{D5CDD505-2E9C-101B-9397-08002B2CF9AE}" pid="14" name="MSIP_Label_0559fe9b-6987-45ef-b918-e76911e153f0_ContentBits">
    <vt:lpwstr>0</vt:lpwstr>
  </property>
</Properties>
</file>